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885" windowWidth="11070" windowHeight="4245" tabRatio="711" activeTab="3"/>
  </bookViews>
  <sheets>
    <sheet name="Introduction" sheetId="1" r:id="rId1"/>
    <sheet name="Data Sheet" sheetId="2" r:id="rId2"/>
    <sheet name="Sample Calculation" sheetId="3" r:id="rId3"/>
    <sheet name="Total Cost " sheetId="4" r:id="rId4"/>
    <sheet name="Component %" sheetId="5" r:id="rId5"/>
    <sheet name="Component Cost" sheetId="6" r:id="rId6"/>
    <sheet name="Sand Leakage " sheetId="7" r:id="rId7"/>
    <sheet name="Geonet Leakage " sheetId="8" r:id="rId8"/>
  </sheets>
  <definedNames>
    <definedName name="_xlnm.Print_Area" localSheetId="1">'Data Sheet'!$B$2:$N$85</definedName>
    <definedName name="_xlnm.Print_Area" localSheetId="0">'Introduction'!$A$1:$O$33</definedName>
    <definedName name="_xlnm.Print_Area" localSheetId="2">'Sample Calculation'!$A$1:$AB$96</definedName>
    <definedName name="Z_F74DA6E2_9F6D_11D4_8E2B_00105AA9DFFD_.wvu.Cols" localSheetId="1" hidden="1">'Data Sheet'!$O:$U,'Data Sheet'!$X:$AE</definedName>
    <definedName name="Z_F74DA6E2_9F6D_11D4_8E2B_00105AA9DFFD_.wvu.PrintArea" localSheetId="1" hidden="1">'Data Sheet'!$A$1:$W$78</definedName>
  </definedNames>
  <calcPr fullCalcOnLoad="1"/>
</workbook>
</file>

<file path=xl/sharedStrings.xml><?xml version="1.0" encoding="utf-8"?>
<sst xmlns="http://schemas.openxmlformats.org/spreadsheetml/2006/main" count="201" uniqueCount="165">
  <si>
    <t>Approximate Length of Haul for Clay</t>
  </si>
  <si>
    <t>CCL Project Data</t>
  </si>
  <si>
    <t xml:space="preserve">Unit Price of Clay </t>
  </si>
  <si>
    <t xml:space="preserve">Required thickness of CCL </t>
  </si>
  <si>
    <t>Unit Cost of Hauling Clay to Site</t>
  </si>
  <si>
    <t>CCL</t>
  </si>
  <si>
    <t>GCL</t>
  </si>
  <si>
    <t>Cost of Installing GCL</t>
  </si>
  <si>
    <t>Cost of Installation</t>
  </si>
  <si>
    <t>Tipping Fee of waste</t>
  </si>
  <si>
    <t>Additional Revenue from extra airspace</t>
  </si>
  <si>
    <t>GCL Project Data</t>
  </si>
  <si>
    <t>Project Calculations</t>
  </si>
  <si>
    <t>Stage</t>
  </si>
  <si>
    <t>Sand</t>
  </si>
  <si>
    <t>GN</t>
  </si>
  <si>
    <t>Product Name</t>
  </si>
  <si>
    <t xml:space="preserve">Product Name </t>
  </si>
  <si>
    <t>Bentomat DN</t>
  </si>
  <si>
    <t>Bentomat ST</t>
  </si>
  <si>
    <t>Bentomat CL</t>
  </si>
  <si>
    <t>Bentomat CLT</t>
  </si>
  <si>
    <t>Claymax 200R</t>
  </si>
  <si>
    <t>Claymax 600CL</t>
  </si>
  <si>
    <t>Included Above</t>
  </si>
  <si>
    <t>Material Cost</t>
  </si>
  <si>
    <t>cost will be:</t>
  </si>
  <si>
    <t>Installation Cost</t>
  </si>
  <si>
    <t>cost to the project:</t>
  </si>
  <si>
    <t>landfill, this will cost:</t>
  </si>
  <si>
    <t>The shipping cost of the GCL is included in the unit price of the GCL used in the spreadsheet.</t>
  </si>
  <si>
    <t>Thus no additional costs for shipping are required.</t>
  </si>
  <si>
    <t>A CCL will take up airspace that would otherwise be used for waste.  A GCL essentially takes</t>
  </si>
  <si>
    <t>Summary Table of Example Results</t>
  </si>
  <si>
    <t>Item Cost</t>
  </si>
  <si>
    <t xml:space="preserve">Material </t>
  </si>
  <si>
    <t>Installation</t>
  </si>
  <si>
    <t>Test Pad</t>
  </si>
  <si>
    <t>Shipping</t>
  </si>
  <si>
    <t xml:space="preserve">Incl. in Material </t>
  </si>
  <si>
    <t>Quality control cost</t>
  </si>
  <si>
    <t>Airspace (loss/gain)</t>
  </si>
  <si>
    <t>in Revenue</t>
  </si>
  <si>
    <t>(gain)</t>
  </si>
  <si>
    <t>(loss)</t>
  </si>
  <si>
    <t>Total Project cost:</t>
  </si>
  <si>
    <r>
      <t xml:space="preserve">Material Cost </t>
    </r>
    <r>
      <rPr>
        <vertAlign val="superscript"/>
        <sz val="10"/>
        <rFont val="Arial"/>
        <family val="2"/>
      </rPr>
      <t>1</t>
    </r>
  </si>
  <si>
    <r>
      <t xml:space="preserve">Installation Cost </t>
    </r>
    <r>
      <rPr>
        <vertAlign val="superscript"/>
        <sz val="10"/>
        <rFont val="Arial"/>
        <family val="2"/>
      </rPr>
      <t>2</t>
    </r>
  </si>
  <si>
    <r>
      <t xml:space="preserve">Test Pad Cost </t>
    </r>
    <r>
      <rPr>
        <vertAlign val="superscript"/>
        <sz val="10"/>
        <rFont val="Arial"/>
        <family val="2"/>
      </rPr>
      <t>3</t>
    </r>
  </si>
  <si>
    <r>
      <t xml:space="preserve">Quality Control Cost </t>
    </r>
    <r>
      <rPr>
        <vertAlign val="superscript"/>
        <sz val="10"/>
        <rFont val="Arial"/>
        <family val="2"/>
      </rPr>
      <t>4</t>
    </r>
  </si>
  <si>
    <r>
      <t xml:space="preserve">Shipping Cost </t>
    </r>
    <r>
      <rPr>
        <vertAlign val="superscript"/>
        <sz val="10"/>
        <rFont val="Arial"/>
        <family val="2"/>
      </rPr>
      <t>5</t>
    </r>
  </si>
  <si>
    <r>
      <t xml:space="preserve">Airspace </t>
    </r>
    <r>
      <rPr>
        <vertAlign val="superscript"/>
        <sz val="10"/>
        <rFont val="Arial"/>
        <family val="2"/>
      </rPr>
      <t>6</t>
    </r>
  </si>
  <si>
    <t>The cost analysis when comparing a CCL and GCL can be broken down into five categories:</t>
  </si>
  <si>
    <t>Shipping / Handling Cost</t>
  </si>
  <si>
    <t>Construction Quality Control cost (CQC)</t>
  </si>
  <si>
    <t>Airspace Cost</t>
  </si>
  <si>
    <t>Each of these factors can be evaluated and compared on the data sheet by entering project</t>
  </si>
  <si>
    <t>specific data in the following cells:</t>
  </si>
  <si>
    <t>CCL Data</t>
  </si>
  <si>
    <t>GCL Data</t>
  </si>
  <si>
    <t>Landfill Area</t>
  </si>
  <si>
    <t>Length of clay Haul</t>
  </si>
  <si>
    <t>Required CCL thickness</t>
  </si>
  <si>
    <t>Unit cost of Clay Haulage</t>
  </si>
  <si>
    <t>GCL Product Name</t>
  </si>
  <si>
    <t>Zone Shipping To</t>
  </si>
  <si>
    <t>Landfill Tipping Fee</t>
  </si>
  <si>
    <t>Unit Price of clay</t>
  </si>
  <si>
    <t>After entering the project specific data in the appropriate cells, costs for a CCL and GCL are</t>
  </si>
  <si>
    <t>automatically calculated in the Project calculation area of the data sheet.  Relevant tables and</t>
  </si>
  <si>
    <t>graphs are displayed on additional forms of the spreadsheet.  These tables and graphs will</t>
  </si>
  <si>
    <t>entered on the data sheet.</t>
  </si>
  <si>
    <r>
      <t>Stage</t>
    </r>
    <r>
      <rPr>
        <b/>
        <vertAlign val="superscript"/>
        <sz val="10"/>
        <color indexed="8"/>
        <rFont val="Arial"/>
        <family val="2"/>
      </rPr>
      <t xml:space="preserve"> 10</t>
    </r>
  </si>
  <si>
    <t>10, Stage 1- "Initial Use", Stage 2 - "Active use", Stage 3 - "Post Closure".</t>
  </si>
  <si>
    <t xml:space="preserve">8,9  from EPA study CR-821448, "Leakage Rates from Leak Detection systems of Double -Lined Landfills", Bonaparte, et,al., 1999.  </t>
  </si>
  <si>
    <t>display the cost comparison between a GCL and a CCL liner using the project specified data</t>
  </si>
  <si>
    <t>Approximate Area to be Lined</t>
  </si>
  <si>
    <t>Type of Lining Project</t>
  </si>
  <si>
    <t>Type of Project</t>
  </si>
  <si>
    <t>Pond</t>
  </si>
  <si>
    <t>Landfill Cover</t>
  </si>
  <si>
    <t>1-7 See Sample Calculation sheet for detailed calculation analysis.</t>
  </si>
  <si>
    <t>(Excludes Airspace)</t>
  </si>
  <si>
    <t>Cost of Leachate Treatment</t>
  </si>
  <si>
    <t>Stage 1</t>
  </si>
  <si>
    <t>Stage 2</t>
  </si>
  <si>
    <t>Stage 3</t>
  </si>
  <si>
    <t>Estimated Lifetime of each Stage (Months)</t>
  </si>
  <si>
    <t>Compaction Factor</t>
  </si>
  <si>
    <t xml:space="preserve">Enter Estimated Interest Rate </t>
  </si>
  <si>
    <t>Cost of Placing CCL</t>
  </si>
  <si>
    <t>Lifetime</t>
  </si>
  <si>
    <t>Treatment Costs</t>
  </si>
  <si>
    <t>Cost of Leachate Treatment (Present Value)</t>
  </si>
  <si>
    <t>Sec. Containment</t>
  </si>
  <si>
    <t>Cost Per</t>
  </si>
  <si>
    <t>Day</t>
  </si>
  <si>
    <t>Total PV of Leachate</t>
  </si>
  <si>
    <t>The volume of soil needed to build a CCL will be larger than the final volume of soil in the CCL as we are</t>
  </si>
  <si>
    <t>Landfill Maintenance Data</t>
  </si>
  <si>
    <t>%</t>
  </si>
  <si>
    <t>/ metric ton / km</t>
  </si>
  <si>
    <t>/ metric ton</t>
  </si>
  <si>
    <t>$ / Liter</t>
  </si>
  <si>
    <t>Leakage (L)</t>
  </si>
  <si>
    <r>
      <t xml:space="preserve">Estimated Landfill Leakage Rates </t>
    </r>
    <r>
      <rPr>
        <b/>
        <sz val="16"/>
        <rFont val="Arial"/>
        <family val="2"/>
      </rPr>
      <t>(L/day)</t>
    </r>
  </si>
  <si>
    <t>kilometers</t>
  </si>
  <si>
    <t>m</t>
  </si>
  <si>
    <t>$/ft2</t>
  </si>
  <si>
    <t>Cost of Placing and Compacting Clay</t>
  </si>
  <si>
    <t>Req'd Thickness of CCL (m)</t>
  </si>
  <si>
    <t>Leakage Rates GCL (Lphd)</t>
  </si>
  <si>
    <t>Leakage Rate CCL (Lphd)</t>
  </si>
  <si>
    <t>Zone ($/m2)</t>
  </si>
  <si>
    <t>Waste Tipping Fee ($/metric ton)</t>
  </si>
  <si>
    <t>Cost of Installing GCL ($/m2)</t>
  </si>
  <si>
    <t>Cost of GCL (Delivered)</t>
  </si>
  <si>
    <r>
      <t>50,000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Landfill - 0.6 meter thick CCL vs. GCL</t>
    </r>
  </si>
  <si>
    <r>
      <t>Assuming a typical installation cost of $1.6 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for a GCL, the installation cost</t>
    </r>
  </si>
  <si>
    <r>
      <t>Typically, a test pad will cost approximately $0.35/m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to construct.  This will add the following</t>
    </r>
  </si>
  <si>
    <r>
      <t>($0.35 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x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</si>
  <si>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Quality Control Costs for a CCL typically cost approximately $0.23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  Thus for a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</si>
  <si>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Quality Control costs for a GCL installation typically cost $0.10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  As a result, for a 50,000 m</t>
    </r>
    <r>
      <rPr>
        <vertAlign val="superscript"/>
        <sz val="10"/>
        <rFont val="Arial"/>
        <family val="2"/>
      </rPr>
      <t>2</t>
    </r>
  </si>
  <si>
    <r>
      <t>($0.10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</si>
  <si>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for a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landfill will be:  ($1.6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</si>
  <si>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the following amount in tipping fees because of lost airspace.  This assumes a 0.6 m thick CCL and</t>
  </si>
  <si>
    <t>$30 / metric ton tipping fee.</t>
  </si>
  <si>
    <r>
      <t>(0.6 m thick CCL x 1.2 metric tons waste 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x $30 /metric ton x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landfill)</t>
    </r>
  </si>
  <si>
    <t>1.31 (as it requires more loose clay to construct a compacted CCL), the corresponding cost of clay will be:</t>
  </si>
  <si>
    <r>
      <t>($0.23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</si>
  <si>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Bottom Liner</t>
  </si>
  <si>
    <r>
      <t>($8.00/m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x (0.6 m thick CCL) x (50,000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landfill)</t>
    </r>
  </si>
  <si>
    <t>-</t>
  </si>
  <si>
    <t>Please contact your CETCO representative for most current pricing</t>
  </si>
  <si>
    <r>
      <t>Assuming a typical clay cost of $2.60/m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and using a 0.6-m thick CCL layer with a compaction factor of</t>
    </r>
  </si>
  <si>
    <r>
      <t>($2.60/m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x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0.6-m thick </t>
    </r>
    <r>
      <rPr>
        <sz val="10"/>
        <rFont val="Arial"/>
        <family val="0"/>
      </rPr>
      <t>x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area of landfill) x (1.31 compaction factor)</t>
    </r>
  </si>
  <si>
    <r>
      <t>($4.85 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x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</si>
  <si>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considering the material cost above to be based on volumes of loose or uncompacted clay.  Loose clay has</t>
  </si>
  <si>
    <r>
      <t>a bulk relative density between 0.8 - 1.3g/cm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Compacted clay bulk densities are in the 1.6 - 1.8g/cm</t>
    </r>
    <r>
      <rPr>
        <vertAlign val="superscript"/>
        <sz val="10"/>
        <rFont val="Arial"/>
        <family val="2"/>
      </rPr>
      <t>3</t>
    </r>
  </si>
  <si>
    <r>
      <t>range.  For this example we will take a conservative approach and assume bulk densities of 1.3 g/cm</t>
    </r>
    <r>
      <rPr>
        <vertAlign val="superscript"/>
        <sz val="10"/>
        <rFont val="Arial"/>
        <family val="2"/>
      </rPr>
      <t xml:space="preserve">3 </t>
    </r>
  </si>
  <si>
    <r>
      <t>(12.75 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for loose clay and 1.7 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(16.67 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for compact clay.  The compaction factor is then:</t>
    </r>
  </si>
  <si>
    <r>
      <t xml:space="preserve"> 1.7/1.3 = 1.31.  In other words, it takes 1.31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of loose clay to construct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of in-place CCL.</t>
    </r>
  </si>
  <si>
    <r>
      <t>Using a typical installation cost of $8.00/m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for a CCL, the installation cost for a 0.6-m thick CCL is:</t>
    </r>
  </si>
  <si>
    <t>Test Pad not required for GCL.</t>
  </si>
  <si>
    <r>
      <t>($0.17/metric ton-km) x (15 km haul) x (50,000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x (0.6 m) x 1.31 x (12.75 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x (1 metric ton/9.81 kN)</t>
    </r>
  </si>
  <si>
    <t>By using a GCL instead of a CCL, the Landfill owner will increase their revenue by the following:</t>
  </si>
  <si>
    <r>
      <t>for a 0.6-m thick CCL layer, a 15 km haul, and a 50,000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landfill, will be:</t>
    </r>
  </si>
  <si>
    <t>Assuming the unit cost of hauling clay to a site is approximately $0.17 /metric ton-km, hauling costs</t>
  </si>
  <si>
    <t>up no airspace because of their thin profile.  As a result, a CCL will cost the landfill owner</t>
  </si>
  <si>
    <r>
      <t>Assuming a delivered GCL cost of $4.85 /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and a 50,000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landfill. The GCL material</t>
    </r>
  </si>
  <si>
    <r>
      <t>/ m</t>
    </r>
    <r>
      <rPr>
        <b/>
        <vertAlign val="superscript"/>
        <sz val="12"/>
        <color indexed="9"/>
        <rFont val="Arial"/>
        <family val="2"/>
      </rPr>
      <t>2</t>
    </r>
  </si>
  <si>
    <r>
      <t xml:space="preserve">Compaction Factor </t>
    </r>
    <r>
      <rPr>
        <b/>
        <vertAlign val="superscript"/>
        <sz val="8"/>
        <rFont val="Arial"/>
        <family val="2"/>
      </rPr>
      <t>11</t>
    </r>
  </si>
  <si>
    <r>
      <t>m</t>
    </r>
    <r>
      <rPr>
        <b/>
        <vertAlign val="superscript"/>
        <sz val="12"/>
        <rFont val="Arial"/>
        <family val="2"/>
      </rPr>
      <t>2</t>
    </r>
  </si>
  <si>
    <r>
      <t>/ m</t>
    </r>
    <r>
      <rPr>
        <b/>
        <vertAlign val="superscript"/>
        <sz val="12"/>
        <rFont val="Arial"/>
        <family val="2"/>
      </rPr>
      <t>3</t>
    </r>
  </si>
  <si>
    <r>
      <t xml:space="preserve">Material Cost (Shipping Included in GCL Cost) </t>
    </r>
    <r>
      <rPr>
        <b/>
        <vertAlign val="superscript"/>
        <sz val="10"/>
        <color indexed="9"/>
        <rFont val="Arial"/>
        <family val="2"/>
      </rPr>
      <t>1</t>
    </r>
  </si>
  <si>
    <r>
      <t xml:space="preserve">Shipping Costs </t>
    </r>
    <r>
      <rPr>
        <b/>
        <vertAlign val="superscript"/>
        <sz val="10"/>
        <color indexed="9"/>
        <rFont val="Arial"/>
        <family val="2"/>
      </rPr>
      <t>5</t>
    </r>
  </si>
  <si>
    <r>
      <t xml:space="preserve">Cost of Installation </t>
    </r>
    <r>
      <rPr>
        <b/>
        <vertAlign val="superscript"/>
        <sz val="10"/>
        <color indexed="9"/>
        <rFont val="Arial"/>
        <family val="2"/>
      </rPr>
      <t>2</t>
    </r>
  </si>
  <si>
    <r>
      <t>Construction Q.C. Costs</t>
    </r>
    <r>
      <rPr>
        <b/>
        <vertAlign val="superscript"/>
        <sz val="10"/>
        <color indexed="9"/>
        <rFont val="Arial"/>
        <family val="2"/>
      </rPr>
      <t xml:space="preserve"> 4</t>
    </r>
  </si>
  <si>
    <r>
      <t xml:space="preserve">Test Pad Construction </t>
    </r>
    <r>
      <rPr>
        <b/>
        <vertAlign val="superscript"/>
        <sz val="10"/>
        <color indexed="9"/>
        <rFont val="Arial"/>
        <family val="2"/>
      </rPr>
      <t>3</t>
    </r>
  </si>
  <si>
    <r>
      <t xml:space="preserve">Loss of Revenue due to Loss of Airspace for CCL </t>
    </r>
    <r>
      <rPr>
        <b/>
        <vertAlign val="superscript"/>
        <sz val="10"/>
        <color indexed="9"/>
        <rFont val="Arial"/>
        <family val="2"/>
      </rPr>
      <t>6</t>
    </r>
  </si>
  <si>
    <r>
      <t xml:space="preserve">Gain in Revenue due extra Airspace of GCL </t>
    </r>
    <r>
      <rPr>
        <b/>
        <vertAlign val="superscript"/>
        <sz val="10"/>
        <color indexed="9"/>
        <rFont val="Arial"/>
        <family val="2"/>
      </rPr>
      <t>6</t>
    </r>
  </si>
  <si>
    <r>
      <t>Total Cost of Liner Options (Excludes Airspace Cost)</t>
    </r>
    <r>
      <rPr>
        <b/>
        <vertAlign val="superscript"/>
        <sz val="10"/>
        <color indexed="9"/>
        <rFont val="Arial"/>
        <family val="2"/>
      </rPr>
      <t>7</t>
    </r>
  </si>
  <si>
    <r>
      <t xml:space="preserve">Leakage Rates with Sand Detection System </t>
    </r>
    <r>
      <rPr>
        <b/>
        <vertAlign val="superscript"/>
        <sz val="10"/>
        <color indexed="9"/>
        <rFont val="Arial"/>
        <family val="2"/>
      </rPr>
      <t>8</t>
    </r>
  </si>
  <si>
    <r>
      <t xml:space="preserve">Leakage Rates with GN Detection System </t>
    </r>
    <r>
      <rPr>
        <b/>
        <vertAlign val="superscript"/>
        <sz val="10"/>
        <color indexed="9"/>
        <rFont val="Arial"/>
        <family val="2"/>
      </rPr>
      <t>9</t>
    </r>
  </si>
  <si>
    <t xml:space="preserve">Sample Calculation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</si>
</sst>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&quot;$&quot;#,##0"/>
    <numFmt numFmtId="168" formatCode="\C\C\L"/>
    <numFmt numFmtId="169" formatCode="0.0%"/>
    <numFmt numFmtId="170" formatCode="00000"/>
    <numFmt numFmtId="171" formatCode="#,##0.0"/>
    <numFmt numFmtId="172" formatCode="0.0000"/>
    <numFmt numFmtId="173" formatCode="&quot;$&quot;#,##0.000"/>
    <numFmt numFmtId="174" formatCode="&quot;$&quot;#,##0.0"/>
    <numFmt numFmtId="175" formatCode="0.00000000"/>
    <numFmt numFmtId="176" formatCode="0.0000000"/>
    <numFmt numFmtId="177" formatCode="0.000000"/>
    <numFmt numFmtId="178" formatCode="0.00000"/>
    <numFmt numFmtId="179" formatCode="&quot;$&quot;#,##0.0000"/>
  </numFmts>
  <fonts count="67">
    <font>
      <sz val="10"/>
      <name val="Arial"/>
      <family val="0"/>
    </font>
    <font>
      <sz val="12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59"/>
      <name val="Arial"/>
      <family val="2"/>
    </font>
    <font>
      <b/>
      <sz val="12"/>
      <name val="Arial"/>
      <family val="2"/>
    </font>
    <font>
      <b/>
      <sz val="20"/>
      <color indexed="59"/>
      <name val="Arial"/>
      <family val="2"/>
    </font>
    <font>
      <b/>
      <sz val="12"/>
      <color indexed="42"/>
      <name val="Arial"/>
      <family val="2"/>
    </font>
    <font>
      <b/>
      <sz val="12"/>
      <color indexed="51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0"/>
      <name val="Arial"/>
      <family val="0"/>
    </font>
    <font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20"/>
      <color indexed="8"/>
      <name val="Arial"/>
      <family val="2"/>
    </font>
    <font>
      <b/>
      <sz val="16.5"/>
      <name val="Arial"/>
      <family val="2"/>
    </font>
    <font>
      <b/>
      <i/>
      <sz val="12"/>
      <name val="Arial"/>
      <family val="2"/>
    </font>
    <font>
      <b/>
      <i/>
      <sz val="12"/>
      <color indexed="18"/>
      <name val="Arial"/>
      <family val="2"/>
    </font>
    <font>
      <sz val="16.75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36"/>
      <color indexed="18"/>
      <name val="Arial"/>
      <family val="2"/>
    </font>
    <font>
      <b/>
      <sz val="35.75"/>
      <color indexed="62"/>
      <name val="Arial"/>
      <family val="2"/>
    </font>
    <font>
      <sz val="10"/>
      <color indexed="60"/>
      <name val="Arial"/>
      <family val="2"/>
    </font>
    <font>
      <b/>
      <sz val="18.75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b/>
      <sz val="12"/>
      <color indexed="43"/>
      <name val="Arial"/>
      <family val="2"/>
    </font>
    <font>
      <sz val="10"/>
      <color indexed="43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8"/>
      <color indexed="8"/>
      <name val="Arial"/>
      <family val="2"/>
    </font>
    <font>
      <sz val="36"/>
      <name val="Arial"/>
      <family val="2"/>
    </font>
    <font>
      <b/>
      <vertAlign val="superscript"/>
      <sz val="10"/>
      <color indexed="8"/>
      <name val="Arial"/>
      <family val="2"/>
    </font>
    <font>
      <b/>
      <sz val="13.5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1.25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8"/>
      <color indexed="9"/>
      <name val="Arial"/>
      <family val="2"/>
    </font>
    <font>
      <vertAlign val="subscript"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vertAlign val="subscript"/>
      <sz val="9.5"/>
      <color indexed="9"/>
      <name val="Arial"/>
      <family val="2"/>
    </font>
    <font>
      <sz val="18"/>
      <color indexed="9"/>
      <name val="Arial"/>
      <family val="2"/>
    </font>
    <font>
      <sz val="22"/>
      <color indexed="9"/>
      <name val="Arial"/>
      <family val="2"/>
    </font>
    <font>
      <b/>
      <sz val="2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1" fillId="4" borderId="2" xfId="0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66" fontId="5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" fillId="6" borderId="1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6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7" borderId="0" xfId="0" applyFill="1" applyBorder="1" applyAlignment="1">
      <alignment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1" fillId="2" borderId="0" xfId="0" applyFont="1" applyFill="1" applyBorder="1" applyAlignment="1" applyProtection="1">
      <alignment/>
      <protection hidden="1"/>
    </xf>
    <xf numFmtId="0" fontId="30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5" fontId="0" fillId="2" borderId="0" xfId="0" applyNumberFormat="1" applyFill="1" applyBorder="1" applyAlignment="1" applyProtection="1">
      <alignment/>
      <protection hidden="1"/>
    </xf>
    <xf numFmtId="0" fontId="12" fillId="2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0" fontId="1" fillId="9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165" fontId="0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165" fontId="0" fillId="3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2" fontId="1" fillId="3" borderId="0" xfId="0" applyNumberFormat="1" applyFont="1" applyFill="1" applyAlignment="1">
      <alignment horizontal="center" vertical="center"/>
    </xf>
    <xf numFmtId="0" fontId="1" fillId="9" borderId="1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66" fontId="5" fillId="3" borderId="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NumberFormat="1" applyFont="1" applyFill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9" borderId="11" xfId="0" applyFont="1" applyFill="1" applyBorder="1" applyAlignment="1">
      <alignment horizontal="center" vertical="center"/>
    </xf>
    <xf numFmtId="0" fontId="1" fillId="9" borderId="6" xfId="0" applyFont="1" applyFill="1" applyBorder="1" applyAlignment="1" applyProtection="1">
      <alignment horizontal="center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0" fontId="30" fillId="9" borderId="6" xfId="0" applyFont="1" applyFill="1" applyBorder="1" applyAlignment="1" applyProtection="1">
      <alignment horizontal="center"/>
      <protection hidden="1"/>
    </xf>
    <xf numFmtId="0" fontId="1" fillId="9" borderId="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2" fontId="1" fillId="11" borderId="6" xfId="0" applyNumberFormat="1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164" fontId="1" fillId="11" borderId="6" xfId="0" applyNumberFormat="1" applyFont="1" applyFill="1" applyBorder="1" applyAlignment="1">
      <alignment horizontal="center" vertical="center"/>
    </xf>
    <xf numFmtId="164" fontId="1" fillId="11" borderId="13" xfId="0" applyNumberFormat="1" applyFont="1" applyFill="1" applyBorder="1" applyAlignment="1">
      <alignment horizontal="center" vertical="center"/>
    </xf>
    <xf numFmtId="2" fontId="1" fillId="11" borderId="13" xfId="0" applyNumberFormat="1" applyFont="1" applyFill="1" applyBorder="1" applyAlignment="1">
      <alignment horizontal="center" vertical="center"/>
    </xf>
    <xf numFmtId="165" fontId="0" fillId="11" borderId="12" xfId="0" applyNumberFormat="1" applyFont="1" applyFill="1" applyBorder="1" applyAlignment="1" applyProtection="1">
      <alignment horizontal="center"/>
      <protection hidden="1"/>
    </xf>
    <xf numFmtId="165" fontId="0" fillId="11" borderId="6" xfId="0" applyNumberFormat="1" applyFont="1" applyFill="1" applyBorder="1" applyAlignment="1" applyProtection="1">
      <alignment horizontal="center"/>
      <protection hidden="1"/>
    </xf>
    <xf numFmtId="165" fontId="0" fillId="11" borderId="14" xfId="0" applyNumberFormat="1" applyFill="1" applyBorder="1" applyAlignment="1" applyProtection="1">
      <alignment horizontal="center"/>
      <protection hidden="1"/>
    </xf>
    <xf numFmtId="165" fontId="0" fillId="11" borderId="12" xfId="0" applyNumberFormat="1" applyFont="1" applyFill="1" applyBorder="1" applyAlignment="1" applyProtection="1">
      <alignment horizontal="center" vertical="center"/>
      <protection hidden="1"/>
    </xf>
    <xf numFmtId="165" fontId="0" fillId="11" borderId="2" xfId="0" applyNumberFormat="1" applyFont="1" applyFill="1" applyBorder="1" applyAlignment="1" applyProtection="1">
      <alignment horizontal="center"/>
      <protection hidden="1"/>
    </xf>
    <xf numFmtId="165" fontId="0" fillId="11" borderId="6" xfId="0" applyNumberFormat="1" applyFont="1" applyFill="1" applyBorder="1" applyAlignment="1" applyProtection="1">
      <alignment horizontal="center" vertical="center"/>
      <protection hidden="1"/>
    </xf>
    <xf numFmtId="165" fontId="0" fillId="11" borderId="10" xfId="0" applyNumberFormat="1" applyFont="1" applyFill="1" applyBorder="1" applyAlignment="1" applyProtection="1">
      <alignment horizontal="center"/>
      <protection hidden="1"/>
    </xf>
    <xf numFmtId="165" fontId="0" fillId="12" borderId="15" xfId="0" applyNumberFormat="1" applyFill="1" applyBorder="1" applyAlignment="1" applyProtection="1">
      <alignment horizontal="center"/>
      <protection hidden="1"/>
    </xf>
    <xf numFmtId="2" fontId="1" fillId="3" borderId="0" xfId="0" applyNumberFormat="1" applyFont="1" applyFill="1" applyBorder="1" applyAlignment="1">
      <alignment horizontal="center" vertical="center"/>
    </xf>
    <xf numFmtId="0" fontId="0" fillId="13" borderId="0" xfId="0" applyFill="1" applyBorder="1" applyAlignment="1">
      <alignment/>
    </xf>
    <xf numFmtId="2" fontId="1" fillId="14" borderId="11" xfId="0" applyNumberFormat="1" applyFont="1" applyFill="1" applyBorder="1" applyAlignment="1">
      <alignment horizontal="center" vertical="center"/>
    </xf>
    <xf numFmtId="2" fontId="1" fillId="14" borderId="15" xfId="0" applyNumberFormat="1" applyFont="1" applyFill="1" applyBorder="1" applyAlignment="1">
      <alignment horizontal="center" vertical="center"/>
    </xf>
    <xf numFmtId="2" fontId="1" fillId="14" borderId="10" xfId="0" applyNumberFormat="1" applyFont="1" applyFill="1" applyBorder="1" applyAlignment="1">
      <alignment horizontal="center" vertical="center"/>
    </xf>
    <xf numFmtId="2" fontId="1" fillId="14" borderId="3" xfId="0" applyNumberFormat="1" applyFont="1" applyFill="1" applyBorder="1" applyAlignment="1">
      <alignment horizontal="center" vertical="center"/>
    </xf>
    <xf numFmtId="2" fontId="1" fillId="14" borderId="4" xfId="0" applyNumberFormat="1" applyFont="1" applyFill="1" applyBorder="1" applyAlignment="1">
      <alignment horizontal="center" vertical="center"/>
    </xf>
    <xf numFmtId="2" fontId="1" fillId="14" borderId="5" xfId="0" applyNumberFormat="1" applyFont="1" applyFill="1" applyBorder="1" applyAlignment="1">
      <alignment horizontal="center" vertical="center"/>
    </xf>
    <xf numFmtId="2" fontId="1" fillId="14" borderId="14" xfId="0" applyNumberFormat="1" applyFont="1" applyFill="1" applyBorder="1" applyAlignment="1">
      <alignment horizontal="center" vertical="center"/>
    </xf>
    <xf numFmtId="2" fontId="1" fillId="14" borderId="0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 quotePrefix="1">
      <alignment horizontal="center" vertical="center"/>
    </xf>
    <xf numFmtId="166" fontId="0" fillId="0" borderId="0" xfId="0" applyNumberForma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15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shrinkToFit="1"/>
      <protection locked="0"/>
    </xf>
    <xf numFmtId="0" fontId="1" fillId="3" borderId="0" xfId="0" applyFont="1" applyFill="1" applyAlignment="1" applyProtection="1">
      <alignment horizontal="right" shrinkToFit="1"/>
      <protection locked="0"/>
    </xf>
    <xf numFmtId="165" fontId="0" fillId="3" borderId="0" xfId="0" applyNumberFormat="1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2" fontId="0" fillId="11" borderId="6" xfId="0" applyNumberFormat="1" applyFill="1" applyBorder="1" applyAlignment="1" applyProtection="1">
      <alignment horizontal="center" vertical="center"/>
      <protection locked="0"/>
    </xf>
    <xf numFmtId="2" fontId="0" fillId="11" borderId="12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2" fontId="0" fillId="11" borderId="13" xfId="0" applyNumberForma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2" fontId="1" fillId="11" borderId="14" xfId="0" applyNumberFormat="1" applyFont="1" applyFill="1" applyBorder="1" applyAlignment="1" applyProtection="1">
      <alignment horizontal="center" vertical="center"/>
      <protection locked="0"/>
    </xf>
    <xf numFmtId="2" fontId="1" fillId="11" borderId="6" xfId="0" applyNumberFormat="1" applyFont="1" applyFill="1" applyBorder="1" applyAlignment="1" applyProtection="1">
      <alignment horizontal="center" vertical="center"/>
      <protection locked="0"/>
    </xf>
    <xf numFmtId="2" fontId="1" fillId="11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2" fontId="1" fillId="11" borderId="13" xfId="0" applyNumberFormat="1" applyFont="1" applyFill="1" applyBorder="1" applyAlignment="1" applyProtection="1">
      <alignment horizontal="center" vertical="center"/>
      <protection locked="0"/>
    </xf>
    <xf numFmtId="0" fontId="1" fillId="9" borderId="13" xfId="0" applyFont="1" applyFill="1" applyBorder="1" applyAlignment="1" applyProtection="1">
      <alignment horizontal="center" shrinkToFit="1"/>
      <protection hidden="1"/>
    </xf>
    <xf numFmtId="0" fontId="1" fillId="9" borderId="9" xfId="0" applyFont="1" applyFill="1" applyBorder="1" applyAlignment="1" applyProtection="1">
      <alignment horizontal="center" shrinkToFit="1"/>
      <protection hidden="1"/>
    </xf>
    <xf numFmtId="0" fontId="1" fillId="9" borderId="13" xfId="0" applyFont="1" applyFill="1" applyBorder="1" applyAlignment="1" applyProtection="1">
      <alignment horizontal="center" vertical="center"/>
      <protection hidden="1"/>
    </xf>
    <xf numFmtId="0" fontId="1" fillId="9" borderId="9" xfId="0" applyFont="1" applyFill="1" applyBorder="1" applyAlignment="1" applyProtection="1">
      <alignment horizontal="center"/>
      <protection hidden="1"/>
    </xf>
    <xf numFmtId="165" fontId="52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 applyProtection="1">
      <alignment vertical="center"/>
      <protection locked="0"/>
    </xf>
    <xf numFmtId="0" fontId="52" fillId="3" borderId="2" xfId="0" applyFont="1" applyFill="1" applyBorder="1" applyAlignment="1" applyProtection="1">
      <alignment horizontal="center" vertical="center"/>
      <protection locked="0"/>
    </xf>
    <xf numFmtId="167" fontId="1" fillId="14" borderId="11" xfId="0" applyNumberFormat="1" applyFont="1" applyFill="1" applyBorder="1" applyAlignment="1">
      <alignment horizontal="center" vertical="center"/>
    </xf>
    <xf numFmtId="167" fontId="1" fillId="14" borderId="15" xfId="0" applyNumberFormat="1" applyFont="1" applyFill="1" applyBorder="1" applyAlignment="1">
      <alignment horizontal="center" vertical="center"/>
    </xf>
    <xf numFmtId="167" fontId="1" fillId="14" borderId="6" xfId="0" applyNumberFormat="1" applyFont="1" applyFill="1" applyBorder="1" applyAlignment="1">
      <alignment horizontal="center" vertical="center"/>
    </xf>
    <xf numFmtId="167" fontId="1" fillId="14" borderId="1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Alignment="1" quotePrefix="1">
      <alignment horizontal="right"/>
    </xf>
    <xf numFmtId="0" fontId="38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9" borderId="10" xfId="0" applyFill="1" applyBorder="1" applyAlignment="1" applyProtection="1">
      <alignment horizontal="center"/>
      <protection locked="0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 applyProtection="1">
      <alignment horizontal="center" vertical="center"/>
      <protection locked="0"/>
    </xf>
    <xf numFmtId="0" fontId="1" fillId="9" borderId="11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9" borderId="15" xfId="0" applyFill="1" applyBorder="1" applyAlignment="1" applyProtection="1">
      <alignment horizontal="center"/>
      <protection locked="0"/>
    </xf>
    <xf numFmtId="0" fontId="0" fillId="17" borderId="4" xfId="0" applyFill="1" applyBorder="1" applyAlignment="1">
      <alignment/>
    </xf>
    <xf numFmtId="0" fontId="0" fillId="17" borderId="3" xfId="0" applyFill="1" applyBorder="1" applyAlignment="1">
      <alignment/>
    </xf>
    <xf numFmtId="0" fontId="0" fillId="17" borderId="5" xfId="0" applyFill="1" applyBorder="1" applyAlignment="1">
      <alignment/>
    </xf>
    <xf numFmtId="0" fontId="0" fillId="17" borderId="1" xfId="0" applyFill="1" applyBorder="1" applyAlignment="1">
      <alignment/>
    </xf>
    <xf numFmtId="0" fontId="31" fillId="17" borderId="1" xfId="0" applyFont="1" applyFill="1" applyBorder="1" applyAlignment="1">
      <alignment/>
    </xf>
    <xf numFmtId="0" fontId="0" fillId="18" borderId="1" xfId="0" applyFill="1" applyBorder="1" applyAlignment="1">
      <alignment/>
    </xf>
    <xf numFmtId="0" fontId="0" fillId="18" borderId="7" xfId="0" applyFill="1" applyBorder="1" applyAlignment="1">
      <alignment/>
    </xf>
    <xf numFmtId="0" fontId="0" fillId="17" borderId="2" xfId="0" applyFill="1" applyBorder="1" applyAlignment="1">
      <alignment/>
    </xf>
    <xf numFmtId="0" fontId="0" fillId="19" borderId="2" xfId="0" applyFill="1" applyBorder="1" applyAlignment="1">
      <alignment/>
    </xf>
    <xf numFmtId="0" fontId="6" fillId="17" borderId="2" xfId="0" applyFont="1" applyFill="1" applyBorder="1" applyAlignment="1">
      <alignment horizontal="center" vertical="center"/>
    </xf>
    <xf numFmtId="0" fontId="33" fillId="17" borderId="2" xfId="0" applyFont="1" applyFill="1" applyBorder="1" applyAlignment="1">
      <alignment/>
    </xf>
    <xf numFmtId="0" fontId="32" fillId="17" borderId="2" xfId="0" applyFont="1" applyFill="1" applyBorder="1" applyAlignment="1">
      <alignment/>
    </xf>
    <xf numFmtId="0" fontId="7" fillId="17" borderId="2" xfId="0" applyFont="1" applyFill="1" applyBorder="1" applyAlignment="1">
      <alignment/>
    </xf>
    <xf numFmtId="0" fontId="28" fillId="17" borderId="2" xfId="0" applyFont="1" applyFill="1" applyBorder="1" applyAlignment="1">
      <alignment/>
    </xf>
    <xf numFmtId="0" fontId="1" fillId="17" borderId="2" xfId="0" applyFont="1" applyFill="1" applyBorder="1" applyAlignment="1">
      <alignment/>
    </xf>
    <xf numFmtId="0" fontId="18" fillId="17" borderId="2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/>
    </xf>
    <xf numFmtId="0" fontId="1" fillId="17" borderId="9" xfId="0" applyFont="1" applyFill="1" applyBorder="1" applyAlignment="1">
      <alignment/>
    </xf>
    <xf numFmtId="0" fontId="1" fillId="20" borderId="8" xfId="0" applyFont="1" applyFill="1" applyBorder="1" applyAlignment="1">
      <alignment/>
    </xf>
    <xf numFmtId="0" fontId="1" fillId="20" borderId="8" xfId="0" applyFont="1" applyFill="1" applyBorder="1" applyAlignment="1">
      <alignment horizontal="center" vertical="center"/>
    </xf>
    <xf numFmtId="0" fontId="0" fillId="19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6" fillId="21" borderId="1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/>
    </xf>
    <xf numFmtId="0" fontId="9" fillId="21" borderId="0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166" fontId="5" fillId="21" borderId="0" xfId="0" applyNumberFormat="1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/>
    </xf>
    <xf numFmtId="0" fontId="54" fillId="21" borderId="2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8" fillId="21" borderId="0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left" vertical="center"/>
    </xf>
    <xf numFmtId="0" fontId="12" fillId="21" borderId="0" xfId="0" applyFont="1" applyFill="1" applyBorder="1" applyAlignment="1">
      <alignment horizontal="left" vertical="center"/>
    </xf>
    <xf numFmtId="0" fontId="12" fillId="21" borderId="1" xfId="0" applyFont="1" applyFill="1" applyBorder="1" applyAlignment="1">
      <alignment/>
    </xf>
    <xf numFmtId="0" fontId="12" fillId="21" borderId="0" xfId="0" applyFont="1" applyFill="1" applyBorder="1" applyAlignment="1">
      <alignment/>
    </xf>
    <xf numFmtId="0" fontId="12" fillId="21" borderId="1" xfId="0" applyFont="1" applyFill="1" applyBorder="1" applyAlignment="1">
      <alignment horizontal="left"/>
    </xf>
    <xf numFmtId="0" fontId="12" fillId="21" borderId="0" xfId="0" applyFont="1" applyFill="1" applyBorder="1" applyAlignment="1">
      <alignment horizontal="left"/>
    </xf>
    <xf numFmtId="0" fontId="12" fillId="21" borderId="0" xfId="0" applyFont="1" applyFill="1" applyBorder="1" applyAlignment="1">
      <alignment/>
    </xf>
    <xf numFmtId="0" fontId="44" fillId="21" borderId="0" xfId="0" applyFont="1" applyFill="1" applyBorder="1" applyAlignment="1">
      <alignment/>
    </xf>
    <xf numFmtId="0" fontId="45" fillId="21" borderId="0" xfId="0" applyFont="1" applyFill="1" applyBorder="1" applyAlignment="1">
      <alignment/>
    </xf>
    <xf numFmtId="0" fontId="12" fillId="21" borderId="1" xfId="0" applyFont="1" applyFill="1" applyBorder="1" applyAlignment="1">
      <alignment/>
    </xf>
    <xf numFmtId="0" fontId="44" fillId="21" borderId="0" xfId="0" applyFont="1" applyFill="1" applyBorder="1" applyAlignment="1">
      <alignment/>
    </xf>
    <xf numFmtId="0" fontId="53" fillId="21" borderId="0" xfId="0" applyFont="1" applyFill="1" applyBorder="1" applyAlignment="1">
      <alignment horizontal="center" vertical="center"/>
    </xf>
    <xf numFmtId="0" fontId="53" fillId="21" borderId="2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/>
    </xf>
    <xf numFmtId="0" fontId="4" fillId="21" borderId="0" xfId="0" applyFont="1" applyFill="1" applyBorder="1" applyAlignment="1">
      <alignment horizontal="center" vertical="center"/>
    </xf>
    <xf numFmtId="173" fontId="5" fillId="21" borderId="3" xfId="0" applyNumberFormat="1" applyFont="1" applyFill="1" applyBorder="1" applyAlignment="1">
      <alignment horizontal="center" vertical="center"/>
    </xf>
    <xf numFmtId="0" fontId="1" fillId="21" borderId="2" xfId="0" applyFont="1" applyFill="1" applyBorder="1" applyAlignment="1">
      <alignment/>
    </xf>
    <xf numFmtId="0" fontId="9" fillId="21" borderId="0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8" fillId="22" borderId="0" xfId="0" applyFont="1" applyFill="1" applyBorder="1" applyAlignment="1">
      <alignment/>
    </xf>
    <xf numFmtId="0" fontId="23" fillId="22" borderId="1" xfId="0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vertical="center"/>
    </xf>
    <xf numFmtId="0" fontId="5" fillId="22" borderId="1" xfId="0" applyFont="1" applyFill="1" applyBorder="1" applyAlignment="1">
      <alignment vertical="center"/>
    </xf>
    <xf numFmtId="0" fontId="1" fillId="22" borderId="0" xfId="0" applyFont="1" applyFill="1" applyBorder="1" applyAlignment="1">
      <alignment vertical="center"/>
    </xf>
    <xf numFmtId="0" fontId="0" fillId="9" borderId="1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1" fillId="22" borderId="1" xfId="0" applyFont="1" applyFill="1" applyBorder="1" applyAlignment="1">
      <alignment vertical="center"/>
    </xf>
    <xf numFmtId="0" fontId="5" fillId="22" borderId="1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0" fontId="23" fillId="22" borderId="2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/>
    </xf>
    <xf numFmtId="0" fontId="0" fillId="22" borderId="2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5" fillId="22" borderId="2" xfId="0" applyFont="1" applyFill="1" applyBorder="1" applyAlignment="1">
      <alignment/>
    </xf>
    <xf numFmtId="0" fontId="0" fillId="22" borderId="0" xfId="0" applyFill="1" applyBorder="1" applyAlignment="1">
      <alignment/>
    </xf>
    <xf numFmtId="0" fontId="1" fillId="22" borderId="0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3" fillId="22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166" fontId="5" fillId="22" borderId="0" xfId="0" applyNumberFormat="1" applyFont="1" applyFill="1" applyBorder="1" applyAlignment="1">
      <alignment horizontal="center" vertical="center"/>
    </xf>
    <xf numFmtId="0" fontId="44" fillId="22" borderId="0" xfId="0" applyFont="1" applyFill="1" applyBorder="1" applyAlignment="1">
      <alignment/>
    </xf>
    <xf numFmtId="0" fontId="17" fillId="22" borderId="0" xfId="0" applyFont="1" applyFill="1" applyBorder="1" applyAlignment="1">
      <alignment/>
    </xf>
    <xf numFmtId="0" fontId="5" fillId="22" borderId="1" xfId="0" applyFont="1" applyFill="1" applyBorder="1" applyAlignment="1">
      <alignment/>
    </xf>
    <xf numFmtId="0" fontId="1" fillId="22" borderId="1" xfId="0" applyFont="1" applyFill="1" applyBorder="1" applyAlignment="1">
      <alignment/>
    </xf>
    <xf numFmtId="0" fontId="28" fillId="22" borderId="2" xfId="0" applyFont="1" applyFill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12" fillId="22" borderId="0" xfId="0" applyNumberFormat="1" applyFont="1" applyFill="1" applyBorder="1" applyAlignment="1">
      <alignment horizontal="center" vertical="center"/>
    </xf>
    <xf numFmtId="0" fontId="5" fillId="22" borderId="0" xfId="0" applyNumberFormat="1" applyFont="1" applyFill="1" applyBorder="1" applyAlignment="1">
      <alignment horizontal="center" vertical="center"/>
    </xf>
    <xf numFmtId="0" fontId="1" fillId="22" borderId="2" xfId="0" applyFont="1" applyFill="1" applyBorder="1" applyAlignment="1">
      <alignment/>
    </xf>
    <xf numFmtId="0" fontId="1" fillId="9" borderId="10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 applyProtection="1">
      <alignment horizontal="center"/>
      <protection locked="0"/>
    </xf>
    <xf numFmtId="0" fontId="1" fillId="11" borderId="10" xfId="0" applyFont="1" applyFill="1" applyBorder="1" applyAlignment="1" applyProtection="1">
      <alignment horizontal="center"/>
      <protection locked="0"/>
    </xf>
    <xf numFmtId="0" fontId="1" fillId="9" borderId="15" xfId="0" applyFont="1" applyFill="1" applyBorder="1" applyAlignment="1" applyProtection="1">
      <alignment horizontal="center"/>
      <protection locked="0"/>
    </xf>
    <xf numFmtId="0" fontId="1" fillId="9" borderId="10" xfId="0" applyFont="1" applyFill="1" applyBorder="1" applyAlignment="1" applyProtection="1">
      <alignment horizontal="center"/>
      <protection locked="0"/>
    </xf>
    <xf numFmtId="0" fontId="0" fillId="9" borderId="15" xfId="0" applyFill="1" applyBorder="1" applyAlignment="1">
      <alignment horizontal="center"/>
    </xf>
    <xf numFmtId="0" fontId="5" fillId="22" borderId="0" xfId="0" applyNumberFormat="1" applyFont="1" applyFill="1" applyBorder="1" applyAlignment="1">
      <alignment horizontal="left" vertical="center"/>
    </xf>
    <xf numFmtId="0" fontId="50" fillId="22" borderId="0" xfId="0" applyNumberFormat="1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/>
    </xf>
    <xf numFmtId="0" fontId="58" fillId="21" borderId="1" xfId="0" applyFont="1" applyFill="1" applyBorder="1" applyAlignment="1">
      <alignment/>
    </xf>
    <xf numFmtId="0" fontId="58" fillId="21" borderId="0" xfId="0" applyFont="1" applyFill="1" applyBorder="1" applyAlignment="1">
      <alignment/>
    </xf>
    <xf numFmtId="0" fontId="9" fillId="21" borderId="1" xfId="0" applyFont="1" applyFill="1" applyBorder="1" applyAlignment="1">
      <alignment/>
    </xf>
    <xf numFmtId="0" fontId="53" fillId="21" borderId="1" xfId="0" applyFont="1" applyFill="1" applyBorder="1" applyAlignment="1">
      <alignment horizontal="center"/>
    </xf>
    <xf numFmtId="0" fontId="53" fillId="21" borderId="0" xfId="0" applyFont="1" applyFill="1" applyBorder="1" applyAlignment="1">
      <alignment horizontal="center"/>
    </xf>
    <xf numFmtId="0" fontId="53" fillId="21" borderId="2" xfId="0" applyFont="1" applyFill="1" applyBorder="1" applyAlignment="1">
      <alignment horizontal="center"/>
    </xf>
    <xf numFmtId="166" fontId="60" fillId="21" borderId="0" xfId="0" applyNumberFormat="1" applyFont="1" applyFill="1" applyBorder="1" applyAlignment="1">
      <alignment horizontal="center" vertical="center"/>
    </xf>
    <xf numFmtId="0" fontId="60" fillId="21" borderId="0" xfId="0" applyFont="1" applyFill="1" applyBorder="1" applyAlignment="1">
      <alignment horizontal="center" vertical="center"/>
    </xf>
    <xf numFmtId="0" fontId="58" fillId="21" borderId="2" xfId="0" applyFont="1" applyFill="1" applyBorder="1" applyAlignment="1">
      <alignment/>
    </xf>
    <xf numFmtId="0" fontId="10" fillId="21" borderId="2" xfId="0" applyFont="1" applyFill="1" applyBorder="1" applyAlignment="1">
      <alignment horizontal="center" vertical="center"/>
    </xf>
    <xf numFmtId="167" fontId="5" fillId="21" borderId="0" xfId="0" applyNumberFormat="1" applyFont="1" applyFill="1" applyBorder="1" applyAlignment="1">
      <alignment/>
    </xf>
    <xf numFmtId="0" fontId="10" fillId="21" borderId="0" xfId="0" applyFont="1" applyFill="1" applyBorder="1" applyAlignment="1">
      <alignment/>
    </xf>
    <xf numFmtId="166" fontId="10" fillId="21" borderId="0" xfId="0" applyNumberFormat="1" applyFont="1" applyFill="1" applyBorder="1" applyAlignment="1">
      <alignment horizontal="center" vertical="center"/>
    </xf>
    <xf numFmtId="167" fontId="5" fillId="21" borderId="0" xfId="0" applyNumberFormat="1" applyFont="1" applyFill="1" applyBorder="1" applyAlignment="1">
      <alignment horizontal="center" vertical="center"/>
    </xf>
    <xf numFmtId="3" fontId="4" fillId="14" borderId="6" xfId="0" applyNumberFormat="1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166" fontId="5" fillId="14" borderId="6" xfId="0" applyNumberFormat="1" applyFont="1" applyFill="1" applyBorder="1" applyAlignment="1">
      <alignment horizontal="center" vertical="center"/>
    </xf>
    <xf numFmtId="164" fontId="5" fillId="14" borderId="6" xfId="0" applyNumberFormat="1" applyFont="1" applyFill="1" applyBorder="1" applyAlignment="1">
      <alignment horizontal="center" vertical="center"/>
    </xf>
    <xf numFmtId="4" fontId="5" fillId="14" borderId="6" xfId="0" applyNumberFormat="1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166" fontId="5" fillId="14" borderId="6" xfId="0" applyNumberFormat="1" applyFont="1" applyFill="1" applyBorder="1" applyAlignment="1" applyProtection="1">
      <alignment horizontal="center" vertical="center"/>
      <protection locked="0"/>
    </xf>
    <xf numFmtId="166" fontId="5" fillId="14" borderId="6" xfId="0" applyNumberFormat="1" applyFont="1" applyFill="1" applyBorder="1" applyAlignment="1" applyProtection="1">
      <alignment horizontal="center" vertical="center"/>
      <protection/>
    </xf>
    <xf numFmtId="167" fontId="5" fillId="14" borderId="6" xfId="0" applyNumberFormat="1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2" fillId="14" borderId="6" xfId="0" applyNumberFormat="1" applyFont="1" applyFill="1" applyBorder="1" applyAlignment="1">
      <alignment horizontal="center" vertical="center"/>
    </xf>
    <xf numFmtId="0" fontId="5" fillId="14" borderId="6" xfId="0" applyNumberFormat="1" applyFont="1" applyFill="1" applyBorder="1" applyAlignment="1">
      <alignment horizontal="center" vertical="center"/>
    </xf>
    <xf numFmtId="167" fontId="12" fillId="14" borderId="6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right" vertical="center"/>
    </xf>
    <xf numFmtId="0" fontId="5" fillId="22" borderId="4" xfId="0" applyFont="1" applyFill="1" applyBorder="1" applyAlignment="1">
      <alignment vertical="center"/>
    </xf>
    <xf numFmtId="0" fontId="5" fillId="22" borderId="5" xfId="0" applyFont="1" applyFill="1" applyBorder="1" applyAlignment="1">
      <alignment horizontal="center" vertical="center"/>
    </xf>
    <xf numFmtId="0" fontId="12" fillId="22" borderId="6" xfId="0" applyFont="1" applyFill="1" applyBorder="1" applyAlignment="1">
      <alignment horizontal="center" vertical="center"/>
    </xf>
    <xf numFmtId="0" fontId="5" fillId="22" borderId="6" xfId="0" applyFont="1" applyFill="1" applyBorder="1" applyAlignment="1">
      <alignment horizontal="center" vertical="center"/>
    </xf>
    <xf numFmtId="0" fontId="5" fillId="22" borderId="2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2" fontId="5" fillId="21" borderId="0" xfId="0" applyNumberFormat="1" applyFont="1" applyFill="1" applyBorder="1" applyAlignment="1">
      <alignment horizontal="center"/>
    </xf>
    <xf numFmtId="167" fontId="15" fillId="0" borderId="9" xfId="0" applyNumberFormat="1" applyFont="1" applyBorder="1" applyAlignment="1">
      <alignment horizontal="center" vertical="center"/>
    </xf>
    <xf numFmtId="2" fontId="11" fillId="21" borderId="0" xfId="0" applyNumberFormat="1" applyFont="1" applyFill="1" applyBorder="1" applyAlignment="1">
      <alignment horizontal="center"/>
    </xf>
    <xf numFmtId="0" fontId="5" fillId="22" borderId="15" xfId="0" applyFont="1" applyFill="1" applyBorder="1" applyAlignment="1">
      <alignment vertical="center"/>
    </xf>
    <xf numFmtId="0" fontId="5" fillId="22" borderId="13" xfId="0" applyFont="1" applyFill="1" applyBorder="1" applyAlignment="1">
      <alignment horizontal="center" vertical="center"/>
    </xf>
    <xf numFmtId="0" fontId="12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11" fillId="21" borderId="0" xfId="0" applyFont="1" applyFill="1" applyBorder="1" applyAlignment="1">
      <alignment horizontal="center"/>
    </xf>
    <xf numFmtId="167" fontId="11" fillId="21" borderId="0" xfId="0" applyNumberFormat="1" applyFont="1" applyFill="1" applyBorder="1" applyAlignment="1">
      <alignment horizontal="center"/>
    </xf>
    <xf numFmtId="0" fontId="61" fillId="21" borderId="1" xfId="0" applyFont="1" applyFill="1" applyBorder="1" applyAlignment="1">
      <alignment vertical="center"/>
    </xf>
    <xf numFmtId="3" fontId="58" fillId="21" borderId="0" xfId="0" applyNumberFormat="1" applyFont="1" applyFill="1" applyBorder="1" applyAlignment="1">
      <alignment horizontal="center" vertical="center"/>
    </xf>
    <xf numFmtId="0" fontId="58" fillId="21" borderId="0" xfId="0" applyFont="1" applyFill="1" applyBorder="1" applyAlignment="1">
      <alignment horizontal="center"/>
    </xf>
    <xf numFmtId="0" fontId="9" fillId="21" borderId="2" xfId="0" applyFont="1" applyFill="1" applyBorder="1" applyAlignment="1">
      <alignment horizontal="center" vertical="center"/>
    </xf>
    <xf numFmtId="0" fontId="62" fillId="21" borderId="1" xfId="0" applyFont="1" applyFill="1" applyBorder="1" applyAlignment="1">
      <alignment/>
    </xf>
    <xf numFmtId="0" fontId="63" fillId="21" borderId="7" xfId="0" applyFont="1" applyFill="1" applyBorder="1" applyAlignment="1">
      <alignment/>
    </xf>
    <xf numFmtId="0" fontId="58" fillId="21" borderId="8" xfId="0" applyFont="1" applyFill="1" applyBorder="1" applyAlignment="1">
      <alignment/>
    </xf>
    <xf numFmtId="0" fontId="58" fillId="21" borderId="8" xfId="0" applyFont="1" applyFill="1" applyBorder="1" applyAlignment="1">
      <alignment horizontal="center"/>
    </xf>
    <xf numFmtId="0" fontId="58" fillId="21" borderId="8" xfId="0" applyFont="1" applyFill="1" applyBorder="1" applyAlignment="1">
      <alignment horizontal="center" vertical="center"/>
    </xf>
    <xf numFmtId="0" fontId="54" fillId="21" borderId="9" xfId="0" applyFont="1" applyFill="1" applyBorder="1" applyAlignment="1">
      <alignment/>
    </xf>
    <xf numFmtId="0" fontId="38" fillId="2" borderId="4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25" fillId="22" borderId="3" xfId="0" applyFont="1" applyFill="1" applyBorder="1" applyAlignment="1">
      <alignment horizontal="center"/>
    </xf>
    <xf numFmtId="0" fontId="0" fillId="22" borderId="3" xfId="0" applyFill="1" applyBorder="1" applyAlignment="1">
      <alignment/>
    </xf>
    <xf numFmtId="0" fontId="0" fillId="22" borderId="5" xfId="0" applyFill="1" applyBorder="1" applyAlignment="1">
      <alignment/>
    </xf>
    <xf numFmtId="0" fontId="0" fillId="22" borderId="0" xfId="0" applyFill="1" applyBorder="1" applyAlignment="1">
      <alignment horizontal="left"/>
    </xf>
    <xf numFmtId="0" fontId="0" fillId="22" borderId="2" xfId="0" applyFill="1" applyBorder="1" applyAlignment="1">
      <alignment/>
    </xf>
    <xf numFmtId="0" fontId="0" fillId="22" borderId="1" xfId="0" applyFill="1" applyBorder="1" applyAlignment="1">
      <alignment/>
    </xf>
    <xf numFmtId="0" fontId="0" fillId="22" borderId="0" xfId="0" applyFill="1" applyBorder="1" applyAlignment="1">
      <alignment horizontal="center"/>
    </xf>
    <xf numFmtId="0" fontId="5" fillId="22" borderId="0" xfId="0" applyFont="1" applyFill="1" applyBorder="1" applyAlignment="1" quotePrefix="1">
      <alignment horizontal="center"/>
    </xf>
    <xf numFmtId="0" fontId="0" fillId="22" borderId="0" xfId="0" applyFill="1" applyBorder="1" applyAlignment="1">
      <alignment/>
    </xf>
    <xf numFmtId="0" fontId="25" fillId="22" borderId="0" xfId="0" applyFont="1" applyFill="1" applyBorder="1" applyAlignment="1">
      <alignment horizontal="center"/>
    </xf>
    <xf numFmtId="0" fontId="0" fillId="22" borderId="8" xfId="0" applyFill="1" applyBorder="1" applyAlignment="1">
      <alignment/>
    </xf>
    <xf numFmtId="0" fontId="0" fillId="22" borderId="9" xfId="0" applyFill="1" applyBorder="1" applyAlignment="1">
      <alignment/>
    </xf>
    <xf numFmtId="0" fontId="0" fillId="22" borderId="7" xfId="0" applyFill="1" applyBorder="1" applyAlignment="1">
      <alignment/>
    </xf>
    <xf numFmtId="0" fontId="5" fillId="22" borderId="8" xfId="0" applyFont="1" applyFill="1" applyBorder="1" applyAlignment="1" quotePrefix="1">
      <alignment/>
    </xf>
    <xf numFmtId="0" fontId="37" fillId="17" borderId="2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0" fillId="17" borderId="9" xfId="0" applyFill="1" applyBorder="1" applyAlignment="1">
      <alignment/>
    </xf>
    <xf numFmtId="0" fontId="0" fillId="17" borderId="0" xfId="0" applyFill="1" applyBorder="1" applyAlignment="1">
      <alignment/>
    </xf>
    <xf numFmtId="0" fontId="5" fillId="17" borderId="0" xfId="0" applyFont="1" applyFill="1" applyBorder="1" applyAlignment="1" quotePrefix="1">
      <alignment/>
    </xf>
    <xf numFmtId="0" fontId="0" fillId="17" borderId="7" xfId="0" applyFill="1" applyBorder="1" applyAlignment="1">
      <alignment/>
    </xf>
    <xf numFmtId="0" fontId="0" fillId="17" borderId="8" xfId="0" applyFill="1" applyBorder="1" applyAlignment="1">
      <alignment/>
    </xf>
    <xf numFmtId="0" fontId="0" fillId="17" borderId="8" xfId="0" applyFill="1" applyBorder="1" applyAlignment="1">
      <alignment/>
    </xf>
    <xf numFmtId="0" fontId="5" fillId="22" borderId="0" xfId="0" applyFont="1" applyFill="1" applyBorder="1" applyAlignment="1" quotePrefix="1">
      <alignment/>
    </xf>
    <xf numFmtId="0" fontId="0" fillId="22" borderId="4" xfId="0" applyFill="1" applyBorder="1" applyAlignment="1">
      <alignment/>
    </xf>
    <xf numFmtId="0" fontId="37" fillId="22" borderId="0" xfId="0" applyFont="1" applyFill="1" applyBorder="1" applyAlignment="1">
      <alignment horizontal="center" vertical="center"/>
    </xf>
    <xf numFmtId="0" fontId="37" fillId="22" borderId="2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center" vertical="center"/>
    </xf>
    <xf numFmtId="0" fontId="0" fillId="19" borderId="20" xfId="0" applyFill="1" applyBorder="1" applyAlignment="1">
      <alignment/>
    </xf>
    <xf numFmtId="0" fontId="0" fillId="17" borderId="4" xfId="0" applyFill="1" applyBorder="1" applyAlignment="1">
      <alignment horizontal="center" vertical="center"/>
    </xf>
    <xf numFmtId="167" fontId="15" fillId="0" borderId="5" xfId="0" applyNumberFormat="1" applyFont="1" applyBorder="1" applyAlignment="1">
      <alignment horizontal="center" vertical="center"/>
    </xf>
    <xf numFmtId="167" fontId="15" fillId="0" borderId="7" xfId="0" applyNumberFormat="1" applyFont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167" fontId="5" fillId="14" borderId="4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/>
    </xf>
    <xf numFmtId="2" fontId="1" fillId="14" borderId="4" xfId="0" applyNumberFormat="1" applyFont="1" applyFill="1" applyBorder="1" applyAlignment="1">
      <alignment horizontal="center" vertical="center"/>
    </xf>
    <xf numFmtId="2" fontId="1" fillId="14" borderId="5" xfId="0" applyNumberFormat="1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vertical="center"/>
    </xf>
    <xf numFmtId="0" fontId="0" fillId="22" borderId="0" xfId="0" applyFont="1" applyFill="1" applyBorder="1" applyAlignment="1">
      <alignment vertical="center"/>
    </xf>
    <xf numFmtId="0" fontId="5" fillId="22" borderId="4" xfId="0" applyFont="1" applyFill="1" applyBorder="1" applyAlignment="1">
      <alignment horizontal="center" vertical="center"/>
    </xf>
    <xf numFmtId="0" fontId="1" fillId="22" borderId="5" xfId="0" applyFont="1" applyFill="1" applyBorder="1" applyAlignment="1">
      <alignment horizontal="center" vertical="center"/>
    </xf>
    <xf numFmtId="3" fontId="5" fillId="14" borderId="4" xfId="0" applyNumberFormat="1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9" fillId="21" borderId="1" xfId="0" applyFont="1" applyFill="1" applyBorder="1" applyAlignment="1">
      <alignment/>
    </xf>
    <xf numFmtId="0" fontId="54" fillId="21" borderId="0" xfId="0" applyFont="1" applyFill="1" applyBorder="1" applyAlignment="1">
      <alignment/>
    </xf>
    <xf numFmtId="0" fontId="9" fillId="17" borderId="4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/>
    </xf>
    <xf numFmtId="0" fontId="0" fillId="22" borderId="2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167" fontId="1" fillId="14" borderId="11" xfId="0" applyNumberFormat="1" applyFont="1" applyFill="1" applyBorder="1" applyAlignment="1">
      <alignment horizontal="center" vertical="center"/>
    </xf>
    <xf numFmtId="167" fontId="0" fillId="14" borderId="10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shrinkToFit="1"/>
    </xf>
    <xf numFmtId="0" fontId="12" fillId="22" borderId="7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167" fontId="5" fillId="14" borderId="14" xfId="0" applyNumberFormat="1" applyFont="1" applyFill="1" applyBorder="1" applyAlignment="1">
      <alignment horizontal="center" vertical="center"/>
    </xf>
    <xf numFmtId="167" fontId="5" fillId="14" borderId="13" xfId="0" applyNumberFormat="1" applyFont="1" applyFill="1" applyBorder="1" applyAlignment="1">
      <alignment horizontal="center" vertical="center"/>
    </xf>
    <xf numFmtId="0" fontId="47" fillId="22" borderId="4" xfId="0" applyFont="1" applyFill="1" applyBorder="1" applyAlignment="1">
      <alignment horizontal="center" vertical="center"/>
    </xf>
    <xf numFmtId="0" fontId="48" fillId="22" borderId="5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5" fillId="22" borderId="2" xfId="0" applyFont="1" applyFill="1" applyBorder="1" applyAlignment="1">
      <alignment/>
    </xf>
    <xf numFmtId="0" fontId="9" fillId="17" borderId="15" xfId="0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12" fillId="22" borderId="15" xfId="0" applyFont="1" applyFill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2" fontId="1" fillId="14" borderId="15" xfId="0" applyNumberFormat="1" applyFont="1" applyFill="1" applyBorder="1" applyAlignment="1">
      <alignment horizontal="center" vertical="center"/>
    </xf>
    <xf numFmtId="2" fontId="1" fillId="14" borderId="10" xfId="0" applyNumberFormat="1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left" vertical="center"/>
    </xf>
    <xf numFmtId="0" fontId="5" fillId="22" borderId="0" xfId="0" applyFont="1" applyFill="1" applyBorder="1" applyAlignment="1">
      <alignment horizontal="left" vertical="center"/>
    </xf>
    <xf numFmtId="0" fontId="4" fillId="14" borderId="15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21" borderId="1" xfId="0" applyFont="1" applyFill="1" applyBorder="1" applyAlignment="1">
      <alignment horizontal="left" vertical="center"/>
    </xf>
    <xf numFmtId="0" fontId="9" fillId="21" borderId="0" xfId="0" applyFont="1" applyFill="1" applyBorder="1" applyAlignment="1">
      <alignment horizontal="left" vertical="center"/>
    </xf>
    <xf numFmtId="0" fontId="9" fillId="21" borderId="0" xfId="0" applyFont="1" applyFill="1" applyBorder="1" applyAlignment="1" quotePrefix="1">
      <alignment/>
    </xf>
    <xf numFmtId="0" fontId="54" fillId="21" borderId="2" xfId="0" applyFont="1" applyFill="1" applyBorder="1" applyAlignment="1">
      <alignment/>
    </xf>
    <xf numFmtId="0" fontId="54" fillId="21" borderId="1" xfId="0" applyFont="1" applyFill="1" applyBorder="1" applyAlignment="1">
      <alignment/>
    </xf>
    <xf numFmtId="0" fontId="0" fillId="22" borderId="2" xfId="0" applyFont="1" applyFill="1" applyBorder="1" applyAlignment="1">
      <alignment vertical="center"/>
    </xf>
    <xf numFmtId="0" fontId="12" fillId="14" borderId="15" xfId="0" applyNumberFormat="1" applyFont="1" applyFill="1" applyBorder="1" applyAlignment="1">
      <alignment horizontal="center" vertical="center"/>
    </xf>
    <xf numFmtId="0" fontId="12" fillId="14" borderId="11" xfId="0" applyNumberFormat="1" applyFont="1" applyFill="1" applyBorder="1" applyAlignment="1">
      <alignment horizontal="center" vertical="center"/>
    </xf>
    <xf numFmtId="0" fontId="12" fillId="14" borderId="10" xfId="0" applyNumberFormat="1" applyFont="1" applyFill="1" applyBorder="1" applyAlignment="1">
      <alignment horizontal="center" vertical="center"/>
    </xf>
    <xf numFmtId="0" fontId="5" fillId="14" borderId="15" xfId="0" applyNumberFormat="1" applyFont="1" applyFill="1" applyBorder="1" applyAlignment="1">
      <alignment horizontal="center" vertical="center"/>
    </xf>
    <xf numFmtId="0" fontId="5" fillId="14" borderId="10" xfId="0" applyNumberFormat="1" applyFont="1" applyFill="1" applyBorder="1" applyAlignment="1">
      <alignment horizontal="center" vertical="center"/>
    </xf>
    <xf numFmtId="0" fontId="9" fillId="21" borderId="0" xfId="0" applyFont="1" applyFill="1" applyBorder="1" applyAlignment="1">
      <alignment/>
    </xf>
    <xf numFmtId="166" fontId="5" fillId="22" borderId="0" xfId="0" applyNumberFormat="1" applyFont="1" applyFill="1" applyBorder="1" applyAlignment="1">
      <alignment horizontal="center" vertical="center"/>
    </xf>
    <xf numFmtId="0" fontId="12" fillId="22" borderId="0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vertical="center"/>
    </xf>
    <xf numFmtId="0" fontId="54" fillId="21" borderId="0" xfId="0" applyFont="1" applyFill="1" applyBorder="1" applyAlignment="1">
      <alignment vertical="center"/>
    </xf>
    <xf numFmtId="0" fontId="5" fillId="22" borderId="1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3" fontId="5" fillId="14" borderId="14" xfId="0" applyNumberFormat="1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167" fontId="1" fillId="14" borderId="15" xfId="0" applyNumberFormat="1" applyFont="1" applyFill="1" applyBorder="1" applyAlignment="1">
      <alignment horizontal="center" vertical="center"/>
    </xf>
    <xf numFmtId="167" fontId="1" fillId="14" borderId="10" xfId="0" applyNumberFormat="1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22" borderId="2" xfId="0" applyFill="1" applyBorder="1" applyAlignment="1">
      <alignment vertical="center"/>
    </xf>
    <xf numFmtId="0" fontId="5" fillId="22" borderId="7" xfId="0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22" borderId="5" xfId="0" applyFill="1" applyBorder="1" applyAlignment="1">
      <alignment vertical="center"/>
    </xf>
    <xf numFmtId="167" fontId="5" fillId="14" borderId="5" xfId="0" applyNumberFormat="1" applyFont="1" applyFill="1" applyBorder="1" applyAlignment="1">
      <alignment horizontal="center" vertical="center"/>
    </xf>
    <xf numFmtId="167" fontId="5" fillId="14" borderId="7" xfId="0" applyNumberFormat="1" applyFont="1" applyFill="1" applyBorder="1" applyAlignment="1">
      <alignment horizontal="center" vertical="center"/>
    </xf>
    <xf numFmtId="167" fontId="5" fillId="14" borderId="9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shrinkToFit="1"/>
    </xf>
    <xf numFmtId="165" fontId="0" fillId="3" borderId="0" xfId="0" applyNumberFormat="1" applyFont="1" applyFill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0" fontId="65" fillId="5" borderId="3" xfId="0" applyFont="1" applyFill="1" applyBorder="1" applyAlignment="1">
      <alignment horizontal="center" wrapText="1"/>
    </xf>
    <xf numFmtId="0" fontId="54" fillId="5" borderId="3" xfId="0" applyFont="1" applyFill="1" applyBorder="1" applyAlignment="1">
      <alignment horizontal="center"/>
    </xf>
    <xf numFmtId="0" fontId="0" fillId="22" borderId="0" xfId="0" applyFill="1" applyBorder="1" applyAlignment="1">
      <alignment horizontal="left" vertical="center"/>
    </xf>
    <xf numFmtId="0" fontId="0" fillId="22" borderId="2" xfId="0" applyFill="1" applyBorder="1" applyAlignment="1">
      <alignment horizontal="left" vertical="center"/>
    </xf>
    <xf numFmtId="0" fontId="0" fillId="22" borderId="0" xfId="0" applyFill="1" applyBorder="1" applyAlignment="1">
      <alignment horizontal="left"/>
    </xf>
    <xf numFmtId="0" fontId="40" fillId="17" borderId="1" xfId="0" applyFont="1" applyFill="1" applyBorder="1" applyAlignment="1">
      <alignment horizontal="center" vertical="center"/>
    </xf>
    <xf numFmtId="0" fontId="40" fillId="17" borderId="0" xfId="0" applyFont="1" applyFill="1" applyBorder="1" applyAlignment="1">
      <alignment horizontal="center" vertical="center"/>
    </xf>
    <xf numFmtId="0" fontId="40" fillId="17" borderId="2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/>
    </xf>
    <xf numFmtId="6" fontId="1" fillId="14" borderId="1" xfId="0" applyNumberFormat="1" applyFont="1" applyFill="1" applyBorder="1" applyAlignment="1">
      <alignment horizontal="center" vertical="center"/>
    </xf>
    <xf numFmtId="6" fontId="1" fillId="14" borderId="0" xfId="0" applyNumberFormat="1" applyFont="1" applyFill="1" applyBorder="1" applyAlignment="1">
      <alignment horizontal="center" vertical="center"/>
    </xf>
    <xf numFmtId="6" fontId="1" fillId="14" borderId="2" xfId="0" applyNumberFormat="1" applyFont="1" applyFill="1" applyBorder="1" applyAlignment="1">
      <alignment horizontal="center" vertical="center"/>
    </xf>
    <xf numFmtId="167" fontId="34" fillId="17" borderId="1" xfId="0" applyNumberFormat="1" applyFont="1" applyFill="1" applyBorder="1" applyAlignment="1" quotePrefix="1">
      <alignment horizontal="center" vertical="center"/>
    </xf>
    <xf numFmtId="167" fontId="34" fillId="17" borderId="0" xfId="0" applyNumberFormat="1" applyFont="1" applyFill="1" applyBorder="1" applyAlignment="1" quotePrefix="1">
      <alignment horizontal="center" vertical="center"/>
    </xf>
    <xf numFmtId="167" fontId="34" fillId="17" borderId="2" xfId="0" applyNumberFormat="1" applyFont="1" applyFill="1" applyBorder="1" applyAlignment="1" quotePrefix="1">
      <alignment horizontal="center" vertical="center"/>
    </xf>
    <xf numFmtId="167" fontId="34" fillId="17" borderId="7" xfId="0" applyNumberFormat="1" applyFont="1" applyFill="1" applyBorder="1" applyAlignment="1" quotePrefix="1">
      <alignment horizontal="center" vertical="center"/>
    </xf>
    <xf numFmtId="167" fontId="34" fillId="17" borderId="8" xfId="0" applyNumberFormat="1" applyFont="1" applyFill="1" applyBorder="1" applyAlignment="1" quotePrefix="1">
      <alignment horizontal="center" vertical="center"/>
    </xf>
    <xf numFmtId="167" fontId="34" fillId="17" borderId="9" xfId="0" applyNumberFormat="1" applyFont="1" applyFill="1" applyBorder="1" applyAlignment="1" quotePrefix="1">
      <alignment horizontal="center" vertical="center"/>
    </xf>
    <xf numFmtId="6" fontId="34" fillId="17" borderId="1" xfId="0" applyNumberFormat="1" applyFont="1" applyFill="1" applyBorder="1" applyAlignment="1" quotePrefix="1">
      <alignment horizontal="center" vertical="center"/>
    </xf>
    <xf numFmtId="6" fontId="34" fillId="17" borderId="0" xfId="0" applyNumberFormat="1" applyFont="1" applyFill="1" applyBorder="1" applyAlignment="1" quotePrefix="1">
      <alignment horizontal="center" vertical="center"/>
    </xf>
    <xf numFmtId="6" fontId="34" fillId="17" borderId="2" xfId="0" applyNumberFormat="1" applyFont="1" applyFill="1" applyBorder="1" applyAlignment="1" quotePrefix="1">
      <alignment horizontal="center" vertical="center"/>
    </xf>
    <xf numFmtId="6" fontId="34" fillId="17" borderId="7" xfId="0" applyNumberFormat="1" applyFont="1" applyFill="1" applyBorder="1" applyAlignment="1" quotePrefix="1">
      <alignment horizontal="center" vertical="center"/>
    </xf>
    <xf numFmtId="6" fontId="34" fillId="17" borderId="8" xfId="0" applyNumberFormat="1" applyFont="1" applyFill="1" applyBorder="1" applyAlignment="1" quotePrefix="1">
      <alignment horizontal="center" vertical="center"/>
    </xf>
    <xf numFmtId="6" fontId="34" fillId="17" borderId="9" xfId="0" applyNumberFormat="1" applyFont="1" applyFill="1" applyBorder="1" applyAlignment="1" quotePrefix="1">
      <alignment horizontal="center" vertical="center"/>
    </xf>
    <xf numFmtId="6" fontId="1" fillId="14" borderId="1" xfId="0" applyNumberFormat="1" applyFont="1" applyFill="1" applyBorder="1" applyAlignment="1" quotePrefix="1">
      <alignment horizontal="center" vertical="center"/>
    </xf>
    <xf numFmtId="6" fontId="1" fillId="14" borderId="0" xfId="0" applyNumberFormat="1" applyFont="1" applyFill="1" applyBorder="1" applyAlignment="1" quotePrefix="1">
      <alignment horizontal="center" vertical="center"/>
    </xf>
    <xf numFmtId="6" fontId="1" fillId="14" borderId="2" xfId="0" applyNumberFormat="1" applyFont="1" applyFill="1" applyBorder="1" applyAlignment="1" quotePrefix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67" fontId="1" fillId="14" borderId="0" xfId="0" applyNumberFormat="1" applyFont="1" applyFill="1" applyBorder="1" applyAlignment="1" quotePrefix="1">
      <alignment horizontal="center" vertical="center"/>
    </xf>
    <xf numFmtId="6" fontId="1" fillId="14" borderId="4" xfId="0" applyNumberFormat="1" applyFont="1" applyFill="1" applyBorder="1" applyAlignment="1">
      <alignment horizontal="center" vertical="center"/>
    </xf>
    <xf numFmtId="6" fontId="1" fillId="14" borderId="3" xfId="0" applyNumberFormat="1" applyFont="1" applyFill="1" applyBorder="1" applyAlignment="1">
      <alignment horizontal="center" vertical="center"/>
    </xf>
    <xf numFmtId="6" fontId="1" fillId="14" borderId="5" xfId="0" applyNumberFormat="1" applyFont="1" applyFill="1" applyBorder="1" applyAlignment="1">
      <alignment horizontal="center" vertical="center"/>
    </xf>
    <xf numFmtId="0" fontId="64" fillId="5" borderId="15" xfId="0" applyFont="1" applyFill="1" applyBorder="1" applyAlignment="1">
      <alignment horizontal="center" vertical="center"/>
    </xf>
    <xf numFmtId="0" fontId="64" fillId="5" borderId="11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25" fillId="14" borderId="22" xfId="0" applyFont="1" applyFill="1" applyBorder="1" applyAlignment="1">
      <alignment horizontal="center"/>
    </xf>
    <xf numFmtId="0" fontId="25" fillId="14" borderId="23" xfId="0" applyFont="1" applyFill="1" applyBorder="1" applyAlignment="1">
      <alignment horizontal="center"/>
    </xf>
    <xf numFmtId="0" fontId="25" fillId="14" borderId="24" xfId="0" applyFont="1" applyFill="1" applyBorder="1" applyAlignment="1">
      <alignment horizontal="center"/>
    </xf>
    <xf numFmtId="0" fontId="0" fillId="22" borderId="0" xfId="0" applyFill="1" applyBorder="1" applyAlignment="1">
      <alignment/>
    </xf>
    <xf numFmtId="2" fontId="9" fillId="17" borderId="15" xfId="0" applyNumberFormat="1" applyFont="1" applyFill="1" applyBorder="1" applyAlignment="1" quotePrefix="1">
      <alignment horizontal="center"/>
    </xf>
    <xf numFmtId="0" fontId="9" fillId="17" borderId="1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167" fontId="9" fillId="17" borderId="15" xfId="0" applyNumberFormat="1" applyFont="1" applyFill="1" applyBorder="1" applyAlignment="1" quotePrefix="1">
      <alignment horizontal="center"/>
    </xf>
    <xf numFmtId="167" fontId="9" fillId="17" borderId="11" xfId="0" applyNumberFormat="1" applyFont="1" applyFill="1" applyBorder="1" applyAlignment="1" quotePrefix="1">
      <alignment horizontal="center"/>
    </xf>
    <xf numFmtId="0" fontId="54" fillId="17" borderId="10" xfId="0" applyFont="1" applyFill="1" applyBorder="1" applyAlignment="1">
      <alignment/>
    </xf>
    <xf numFmtId="0" fontId="0" fillId="22" borderId="0" xfId="0" applyFont="1" applyFill="1" applyBorder="1" applyAlignment="1">
      <alignment horizontal="left" vertical="center"/>
    </xf>
    <xf numFmtId="6" fontId="9" fillId="17" borderId="15" xfId="0" applyNumberFormat="1" applyFont="1" applyFill="1" applyBorder="1" applyAlignment="1" quotePrefix="1">
      <alignment horizontal="center"/>
    </xf>
    <xf numFmtId="6" fontId="9" fillId="17" borderId="11" xfId="0" applyNumberFormat="1" applyFont="1" applyFill="1" applyBorder="1" applyAlignment="1" quotePrefix="1">
      <alignment horizontal="center"/>
    </xf>
    <xf numFmtId="6" fontId="9" fillId="17" borderId="10" xfId="0" applyNumberFormat="1" applyFont="1" applyFill="1" applyBorder="1" applyAlignment="1" quotePrefix="1">
      <alignment horizontal="center"/>
    </xf>
    <xf numFmtId="0" fontId="0" fillId="22" borderId="3" xfId="0" applyFill="1" applyBorder="1" applyAlignment="1">
      <alignment horizontal="left"/>
    </xf>
    <xf numFmtId="0" fontId="25" fillId="23" borderId="4" xfId="0" applyFont="1" applyFill="1" applyBorder="1" applyAlignment="1">
      <alignment horizontal="center" vertical="center"/>
    </xf>
    <xf numFmtId="0" fontId="25" fillId="23" borderId="3" xfId="0" applyFont="1" applyFill="1" applyBorder="1" applyAlignment="1">
      <alignment horizontal="center" vertical="center"/>
    </xf>
    <xf numFmtId="0" fontId="25" fillId="23" borderId="5" xfId="0" applyFont="1" applyFill="1" applyBorder="1" applyAlignment="1">
      <alignment horizontal="center" vertical="center"/>
    </xf>
    <xf numFmtId="0" fontId="0" fillId="23" borderId="7" xfId="0" applyFont="1" applyFill="1" applyBorder="1" applyAlignment="1">
      <alignment horizontal="center" vertical="center"/>
    </xf>
    <xf numFmtId="0" fontId="0" fillId="23" borderId="8" xfId="0" applyFont="1" applyFill="1" applyBorder="1" applyAlignment="1">
      <alignment horizontal="center" vertical="center"/>
    </xf>
    <xf numFmtId="0" fontId="0" fillId="23" borderId="9" xfId="0" applyFont="1" applyFill="1" applyBorder="1" applyAlignment="1">
      <alignment horizontal="center" vertical="center"/>
    </xf>
    <xf numFmtId="0" fontId="25" fillId="11" borderId="4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  <xf numFmtId="0" fontId="25" fillId="11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7" fontId="9" fillId="17" borderId="10" xfId="0" applyNumberFormat="1" applyFont="1" applyFill="1" applyBorder="1" applyAlignment="1" quotePrefix="1">
      <alignment horizontal="center"/>
    </xf>
    <xf numFmtId="0" fontId="25" fillId="14" borderId="22" xfId="0" applyFont="1" applyFill="1" applyBorder="1" applyAlignment="1">
      <alignment horizontal="center" shrinkToFit="1"/>
    </xf>
    <xf numFmtId="0" fontId="25" fillId="14" borderId="23" xfId="0" applyFont="1" applyFill="1" applyBorder="1" applyAlignment="1">
      <alignment horizontal="center" shrinkToFit="1"/>
    </xf>
    <xf numFmtId="0" fontId="25" fillId="14" borderId="24" xfId="0" applyFont="1" applyFill="1" applyBorder="1" applyAlignment="1">
      <alignment horizontal="center" shrinkToFit="1"/>
    </xf>
    <xf numFmtId="0" fontId="0" fillId="22" borderId="3" xfId="0" applyFont="1" applyFill="1" applyBorder="1" applyAlignment="1">
      <alignment horizontal="left"/>
    </xf>
    <xf numFmtId="0" fontId="0" fillId="22" borderId="3" xfId="0" applyFill="1" applyBorder="1" applyAlignment="1">
      <alignment/>
    </xf>
    <xf numFmtId="0" fontId="0" fillId="22" borderId="0" xfId="0" applyFill="1" applyAlignment="1">
      <alignment/>
    </xf>
    <xf numFmtId="0" fontId="0" fillId="22" borderId="0" xfId="0" applyFont="1" applyFill="1" applyBorder="1" applyAlignment="1">
      <alignment horizontal="left"/>
    </xf>
    <xf numFmtId="0" fontId="0" fillId="22" borderId="0" xfId="0" applyFill="1" applyAlignment="1">
      <alignment horizontal="left"/>
    </xf>
    <xf numFmtId="0" fontId="0" fillId="22" borderId="2" xfId="0" applyFont="1" applyFill="1" applyBorder="1" applyAlignment="1">
      <alignment horizontal="left" vertical="center"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 Cost Comparison</a:t>
            </a:r>
          </a:p>
        </c:rich>
      </c:tx>
      <c:layout>
        <c:manualLayout>
          <c:xMode val="factor"/>
          <c:yMode val="factor"/>
          <c:x val="-0.26725"/>
          <c:y val="0.0165"/>
        </c:manualLayout>
      </c:layout>
      <c:spPr>
        <a:solidFill>
          <a:srgbClr val="339966"/>
        </a:solidFill>
        <a:ln w="25400">
          <a:solidFill>
            <a:srgbClr val="0000FF"/>
          </a:solidFill>
        </a:ln>
      </c:spPr>
    </c:title>
    <c:view3D>
      <c:rotX val="24"/>
      <c:rotY val="21"/>
      <c:depthPercent val="80"/>
      <c:rAngAx val="1"/>
    </c:view3D>
    <c:plotArea>
      <c:layout>
        <c:manualLayout>
          <c:xMode val="edge"/>
          <c:yMode val="edge"/>
          <c:x val="0.036"/>
          <c:y val="0.158"/>
          <c:w val="0.951"/>
          <c:h val="0.809"/>
        </c:manualLayout>
      </c:layout>
      <c:bar3DChart>
        <c:barDir val="col"/>
        <c:grouping val="clustered"/>
        <c:varyColors val="0"/>
        <c:ser>
          <c:idx val="1"/>
          <c:order val="0"/>
          <c:tx>
            <c:v>GCL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GCL vs. CCL Cost Comparison</c:v>
              </c:pt>
            </c:strLit>
          </c:cat>
          <c:val>
            <c:numRef>
              <c:f>'Data Sheet'!$L$65</c:f>
              <c:numCache>
                <c:ptCount val="1"/>
                <c:pt idx="0">
                  <c:v>0</c:v>
                </c:pt>
              </c:numCache>
            </c:numRef>
          </c:val>
          <c:shape val="pyramidToMax"/>
        </c:ser>
        <c:ser>
          <c:idx val="0"/>
          <c:order val="1"/>
          <c:tx>
            <c:v>CCL</c:v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GCL vs. CCL Cost Comparison</c:v>
              </c:pt>
            </c:strLit>
          </c:cat>
          <c:val>
            <c:numRef>
              <c:f>'Data Sheet'!$J$65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140"/>
        <c:gapDepth val="80"/>
        <c:shape val="box"/>
        <c:axId val="11485083"/>
        <c:axId val="36256884"/>
      </c:bar3DChart>
      <c:catAx>
        <c:axId val="11485083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low"/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At val="1"/>
        <c:crossBetween val="between"/>
        <c:dispUnits/>
      </c:valAx>
      <c:dTable>
        <c:showHorzBorder val="1"/>
        <c:showVertBorder val="0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CC99"/>
        </a:solidFill>
        <a:ln w="3175"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GCL Cost %</a:t>
            </a:r>
          </a:p>
        </c:rich>
      </c:tx>
      <c:layout>
        <c:manualLayout>
          <c:xMode val="factor"/>
          <c:yMode val="factor"/>
          <c:x val="-0.02325"/>
          <c:y val="0.6787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44"/>
          <c:y val="0.27975"/>
          <c:w val="0.88975"/>
          <c:h val="0.30675"/>
        </c:manualLayout>
      </c:layout>
      <c:pie3DChart>
        <c:varyColors val="1"/>
        <c:ser>
          <c:idx val="0"/>
          <c:order val="0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2"/>
          </c:dPt>
          <c:dPt>
            <c:idx val="1"/>
            <c:explosion val="32"/>
            <c:spPr>
              <a:solidFill>
                <a:srgbClr val="FFFF00"/>
              </a:solidFill>
            </c:spPr>
          </c:dPt>
          <c:dPt>
            <c:idx val="2"/>
            <c:explosion val="46"/>
          </c:dPt>
          <c:dPt>
            <c:idx val="3"/>
            <c:explosion val="38"/>
            <c:spPr>
              <a:solidFill>
                <a:srgbClr val="FF0000"/>
              </a:solidFill>
            </c:spPr>
          </c:dPt>
          <c:dPt>
            <c:idx val="4"/>
            <c:explosion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17.0%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('Data Sheet'!$C$51,'Data Sheet'!$C$53,'Data Sheet'!$C$55,'Data Sheet'!$C$57,'Data Sheet'!$C$59)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('Data Sheet'!$L$51,'Data Sheet'!$L$53,'Data Sheet'!$L$55,'Data Sheet'!$L$57,'Data Sheet'!$L$59)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('Data Sheet'!$L$51,'Data Sheet'!$L$53)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('Data Sheet'!$C$51,'Data Sheet'!$C$53,'Data Sheet'!$C$55,'Data Sheet'!$C$57,'Data Sheet'!$C$59)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'Data Sheet'!$I$80:$J$80</c:f>
              <c:numCache>
                <c:ptCount val="2"/>
                <c:pt idx="0">
                  <c:v>0</c:v>
                </c:pt>
              </c:numCache>
            </c:numRef>
          </c:val>
        </c:ser>
        <c:ser>
          <c:idx val="3"/>
          <c:order val="3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('Data Sheet'!$C$51,'Data Sheet'!$C$53,'Data Sheet'!$C$55,'Data Sheet'!$C$57,'Data Sheet'!$C$59)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'Data Sheet'!$I$81:$J$81</c:f>
              <c:numCache>
                <c:ptCount val="2"/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7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CCL Cost %</a:t>
            </a:r>
          </a:p>
        </c:rich>
      </c:tx>
      <c:layout>
        <c:manualLayout>
          <c:xMode val="factor"/>
          <c:yMode val="factor"/>
          <c:x val="-0.27225"/>
          <c:y val="0.01625"/>
        </c:manualLayout>
      </c:layout>
      <c:spPr>
        <a:noFill/>
        <a:ln>
          <a:noFill/>
        </a:ln>
      </c:spPr>
    </c:title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6675"/>
          <c:y val="0.3575"/>
          <c:w val="0.39825"/>
          <c:h val="0.2122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1"/>
          </c:dPt>
          <c:dPt>
            <c:idx val="1"/>
            <c:explosion val="14"/>
            <c:spPr>
              <a:solidFill>
                <a:srgbClr val="FFFF00"/>
              </a:solidFill>
            </c:spPr>
          </c:dPt>
          <c:dPt>
            <c:idx val="2"/>
            <c:explosion val="17"/>
          </c:dPt>
          <c:dPt>
            <c:idx val="3"/>
            <c:explosion val="58"/>
            <c:spPr>
              <a:solidFill>
                <a:srgbClr val="FF0000"/>
              </a:solidFill>
            </c:spPr>
          </c:dPt>
          <c:dPt>
            <c:idx val="4"/>
            <c:explosion val="6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  <c:leaderLines>
              <c:spPr>
                <a:ln w="38100">
                  <a:solidFill/>
                </a:ln>
              </c:spPr>
            </c:leaderLines>
          </c:dLbls>
          <c:cat>
            <c:strRef>
              <c:f>('Data Sheet'!$C$51,'Data Sheet'!$C$53,'Data Sheet'!$C$55,'Data Sheet'!$C$57,'Data Sheet'!$C$59)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('Data Sheet'!$J$51,'Data Sheet'!$J$53,'Data Sheet'!$J$55,'Data Sheet'!$J$57,'Data Sheet'!$J$59)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613"/>
          <c:w val="0.49625"/>
          <c:h val="0.387"/>
        </c:manualLayout>
      </c:layout>
      <c:overlay val="0"/>
      <c:spPr>
        <a:gradFill rotWithShape="1">
          <a:gsLst>
            <a:gs pos="0">
              <a:srgbClr val="339966"/>
            </a:gs>
            <a:gs pos="100000">
              <a:srgbClr val="D3E9DE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GCL vs. CCL Cost Comparison</a:t>
            </a:r>
          </a:p>
        </c:rich>
      </c:tx>
      <c:layout>
        <c:manualLayout>
          <c:xMode val="factor"/>
          <c:yMode val="factor"/>
          <c:x val="-0.231"/>
          <c:y val="0.65575"/>
        </c:manualLayout>
      </c:layout>
      <c:spPr>
        <a:noFill/>
        <a:ln>
          <a:noFill/>
        </a:ln>
      </c:spPr>
    </c:title>
    <c:view3D>
      <c:rotX val="12"/>
      <c:rotY val="9"/>
      <c:depthPercent val="180"/>
      <c:rAngAx val="0"/>
      <c:perspective val="30"/>
    </c:view3D>
    <c:plotArea>
      <c:layout>
        <c:manualLayout>
          <c:xMode val="edge"/>
          <c:yMode val="edge"/>
          <c:x val="0.058"/>
          <c:y val="0.0155"/>
          <c:w val="0.88925"/>
          <c:h val="0.92775"/>
        </c:manualLayout>
      </c:layout>
      <c:bar3DChart>
        <c:barDir val="col"/>
        <c:grouping val="standard"/>
        <c:varyColors val="0"/>
        <c:ser>
          <c:idx val="1"/>
          <c:order val="0"/>
          <c:tx>
            <c:v>GCL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Material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Sheet'!$C$51,'Data Sheet'!$C$53,'Data Sheet'!$C$55,'Data Sheet'!$C$57,'Data Sheet'!$C$59)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('Data Sheet'!$L$51,'Data Sheet'!$L$53,'Data Sheet'!$L$55,'Data Sheet'!$L$57,'Data Sheet'!$L$59)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CCL</c:v>
          </c:tx>
          <c:spPr>
            <a:pattFill prst="pct70">
              <a:fgClr>
                <a:srgbClr val="FF9900"/>
              </a:fgClr>
              <a:bgClr>
                <a:srgbClr val="FFCC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70">
                <a:fgClr>
                  <a:srgbClr val="FF9900"/>
                </a:fgClr>
                <a:bgClr>
                  <a:srgbClr val="FFCC00"/>
                </a:bgClr>
              </a:pattFill>
              <a:ln w="12700">
                <a:solid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Shipping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Installation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Quality 
Control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Construction 
 Test Pad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Sheet'!$C$51,'Data Sheet'!$C$53,'Data Sheet'!$C$55,'Data Sheet'!$C$57,'Data Sheet'!$C$59)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('Data Sheet'!$J$51,'Data Sheet'!$J$53,'Data Sheet'!$J$55,'Data Sheet'!$J$57,'Data Sheet'!$J$59)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gapWidth val="100"/>
        <c:gapDepth val="500"/>
        <c:shape val="box"/>
        <c:axId val="57876501"/>
        <c:axId val="51126462"/>
        <c:axId val="57484975"/>
      </c:bar3DChart>
      <c:catAx>
        <c:axId val="578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Component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auto val="0"/>
        <c:lblOffset val="100"/>
        <c:noMultiLvlLbl val="0"/>
      </c:catAx>
      <c:valAx>
        <c:axId val="511264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At val="1"/>
        <c:crossBetween val="between"/>
        <c:dispUnits/>
      </c:valAx>
      <c:serAx>
        <c:axId val="5748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78975"/>
              <c:y val="-0.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2"/>
          <a:srcRect/>
          <a:tile sx="100000" sy="100000" flip="none" algn="tl"/>
        </a:blipFill>
        <a:ln w="25400">
          <a:solidFill/>
        </a:ln>
      </c:spPr>
    </c:plotArea>
    <c:legend>
      <c:legendPos val="r"/>
      <c:layout>
        <c:manualLayout>
          <c:xMode val="edge"/>
          <c:yMode val="edge"/>
          <c:x val="0.86325"/>
          <c:y val="0.21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3"/>
          <a:srcRect/>
          <a:tile sx="100000" sy="100000" flip="none" algn="tl"/>
        </a:blipFill>
      </c:spPr>
      <c:thickness val="0"/>
    </c:floor>
    <c:side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5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6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Sand Leakage Rates 
and Associated Treatment Costs</a:t>
            </a:r>
          </a:p>
        </c:rich>
      </c:tx>
      <c:layout>
        <c:manualLayout>
          <c:xMode val="factor"/>
          <c:yMode val="factor"/>
          <c:x val="-0.140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775"/>
          <c:w val="0.92275"/>
          <c:h val="0.80875"/>
        </c:manualLayout>
      </c:layout>
      <c:barChart>
        <c:barDir val="col"/>
        <c:grouping val="clustered"/>
        <c:varyColors val="0"/>
        <c:ser>
          <c:idx val="1"/>
          <c:order val="0"/>
          <c:tx>
            <c:v>CCL/Sand Leakage 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Sheet'!$C$70:$C$72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Sheet'!$E$70:$E$72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GCL/Sand Leakage</c:v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Sheet'!$C$70:$C$72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70"/>
        <c:axId val="47602728"/>
        <c:axId val="25771369"/>
      </c:barChart>
      <c:lineChart>
        <c:grouping val="standard"/>
        <c:varyColors val="0"/>
        <c:ser>
          <c:idx val="2"/>
          <c:order val="2"/>
          <c:tx>
            <c:v>CCL Leachate Costs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Sheet'!$C$77:$C$79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Sheet'!$E$77:$E$79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GCL Leachate Costs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Sheet'!$F$77:$F$79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30615730"/>
        <c:axId val="7106115"/>
      </c:lineChart>
      <c:catAx>
        <c:axId val="476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Stage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 val="autoZero"/>
        <c:auto val="1"/>
        <c:lblOffset val="100"/>
        <c:noMultiLvlLbl val="0"/>
      </c:catAx>
      <c:valAx>
        <c:axId val="25771369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Leakage Rate (L/Day)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7602728"/>
        <c:crossesAt val="1"/>
        <c:crossBetween val="between"/>
        <c:dispUnits/>
      </c:valAx>
      <c:catAx>
        <c:axId val="30615730"/>
        <c:scaling>
          <c:orientation val="minMax"/>
        </c:scaling>
        <c:axPos val="b"/>
        <c:delete val="1"/>
        <c:majorTickMark val="in"/>
        <c:minorTickMark val="none"/>
        <c:tickLblPos val="nextTo"/>
        <c:crossAx val="7106115"/>
        <c:crosses val="autoZero"/>
        <c:auto val="0"/>
        <c:lblOffset val="100"/>
        <c:noMultiLvlLbl val="0"/>
      </c:catAx>
      <c:valAx>
        <c:axId val="710611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Cost of Treatment $</a:t>
                </a:r>
              </a:p>
            </c:rich>
          </c:tx>
          <c:layout>
            <c:manualLayout>
              <c:xMode val="factor"/>
              <c:yMode val="factor"/>
              <c:x val="0.03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 val="max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3"/>
          <c:y val="0.1725"/>
          <c:w val="0.30025"/>
          <c:h val="0.1375"/>
        </c:manualLayout>
      </c:layout>
      <c:overlay val="0"/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Geonet Leakage Rates 
and Associated Treatment Costs</a:t>
            </a:r>
          </a:p>
        </c:rich>
      </c:tx>
      <c:layout>
        <c:manualLayout>
          <c:xMode val="factor"/>
          <c:yMode val="factor"/>
          <c:x val="-0.12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075"/>
          <c:w val="0.923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v>CCL/Geonet Leakage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Sheet'!$C$70:$C$72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Sheet'!$J$70:$J$72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GCL/Geonet Leakage</c:v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Sheet'!$C$70:$C$72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Sheet'!$L$70:$L$72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70"/>
        <c:axId val="63955036"/>
        <c:axId val="38724413"/>
      </c:barChart>
      <c:lineChart>
        <c:grouping val="standard"/>
        <c:varyColors val="0"/>
        <c:ser>
          <c:idx val="2"/>
          <c:order val="2"/>
          <c:tx>
            <c:v>CCL Leachate Costs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Sheet'!$C$77:$C$79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Sheet'!$J$77:$J$79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GCL Leachate Costs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Sheet'!$L$77:$L$79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12975398"/>
        <c:axId val="49669719"/>
      </c:lineChart>
      <c:catAx>
        <c:axId val="6395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Stage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auto val="1"/>
        <c:lblOffset val="100"/>
        <c:noMultiLvlLbl val="0"/>
      </c:catAx>
      <c:valAx>
        <c:axId val="38724413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Leakage Rate (L/Day)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955036"/>
        <c:crossesAt val="1"/>
        <c:crossBetween val="between"/>
        <c:dispUnits/>
      </c:valAx>
      <c:catAx>
        <c:axId val="12975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crossAx val="49669719"/>
        <c:crosses val="max"/>
        <c:auto val="0"/>
        <c:lblOffset val="100"/>
        <c:noMultiLvlLbl val="0"/>
      </c:catAx>
      <c:valAx>
        <c:axId val="4966971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Cost of Treatment $</a:t>
                </a:r>
              </a:p>
            </c:rich>
          </c:tx>
          <c:layout>
            <c:manualLayout>
              <c:xMode val="factor"/>
              <c:yMode val="factor"/>
              <c:x val="0.03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975398"/>
        <c:crosses val="max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1835"/>
          <c:w val="0.24675"/>
          <c:h val="0.18775"/>
        </c:manualLayout>
      </c:layout>
      <c:overlay val="0"/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blackAndWhite="1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</xdr:row>
      <xdr:rowOff>38100</xdr:rowOff>
    </xdr:from>
    <xdr:to>
      <xdr:col>4</xdr:col>
      <xdr:colOff>361950</xdr:colOff>
      <xdr:row>9</xdr:row>
      <xdr:rowOff>142875</xdr:rowOff>
    </xdr:to>
    <xdr:sp>
      <xdr:nvSpPr>
        <xdr:cNvPr id="1" name="Oval 2"/>
        <xdr:cNvSpPr>
          <a:spLocks/>
        </xdr:cNvSpPr>
      </xdr:nvSpPr>
      <xdr:spPr>
        <a:xfrm>
          <a:off x="1905000" y="15144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10</xdr:row>
      <xdr:rowOff>38100</xdr:rowOff>
    </xdr:from>
    <xdr:to>
      <xdr:col>4</xdr:col>
      <xdr:colOff>361950</xdr:colOff>
      <xdr:row>10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905000" y="17049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38100</xdr:rowOff>
    </xdr:from>
    <xdr:to>
      <xdr:col>4</xdr:col>
      <xdr:colOff>361950</xdr:colOff>
      <xdr:row>11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1905000" y="18954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38100</xdr:rowOff>
    </xdr:from>
    <xdr:to>
      <xdr:col>4</xdr:col>
      <xdr:colOff>361950</xdr:colOff>
      <xdr:row>12</xdr:row>
      <xdr:rowOff>142875</xdr:rowOff>
    </xdr:to>
    <xdr:sp>
      <xdr:nvSpPr>
        <xdr:cNvPr id="4" name="Oval 5"/>
        <xdr:cNvSpPr>
          <a:spLocks/>
        </xdr:cNvSpPr>
      </xdr:nvSpPr>
      <xdr:spPr>
        <a:xfrm>
          <a:off x="1905000" y="20859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13</xdr:row>
      <xdr:rowOff>38100</xdr:rowOff>
    </xdr:from>
    <xdr:to>
      <xdr:col>4</xdr:col>
      <xdr:colOff>361950</xdr:colOff>
      <xdr:row>13</xdr:row>
      <xdr:rowOff>142875</xdr:rowOff>
    </xdr:to>
    <xdr:sp>
      <xdr:nvSpPr>
        <xdr:cNvPr id="5" name="Oval 6"/>
        <xdr:cNvSpPr>
          <a:spLocks/>
        </xdr:cNvSpPr>
      </xdr:nvSpPr>
      <xdr:spPr>
        <a:xfrm>
          <a:off x="1905000" y="22764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</xdr:row>
      <xdr:rowOff>57150</xdr:rowOff>
    </xdr:from>
    <xdr:to>
      <xdr:col>3</xdr:col>
      <xdr:colOff>371475</xdr:colOff>
      <xdr:row>19</xdr:row>
      <xdr:rowOff>171450</xdr:rowOff>
    </xdr:to>
    <xdr:sp>
      <xdr:nvSpPr>
        <xdr:cNvPr id="6" name="AutoShape 10"/>
        <xdr:cNvSpPr>
          <a:spLocks/>
        </xdr:cNvSpPr>
      </xdr:nvSpPr>
      <xdr:spPr>
        <a:xfrm>
          <a:off x="1285875" y="3248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20</xdr:row>
      <xdr:rowOff>57150</xdr:rowOff>
    </xdr:from>
    <xdr:to>
      <xdr:col>3</xdr:col>
      <xdr:colOff>371475</xdr:colOff>
      <xdr:row>20</xdr:row>
      <xdr:rowOff>171450</xdr:rowOff>
    </xdr:to>
    <xdr:sp>
      <xdr:nvSpPr>
        <xdr:cNvPr id="7" name="AutoShape 11"/>
        <xdr:cNvSpPr>
          <a:spLocks/>
        </xdr:cNvSpPr>
      </xdr:nvSpPr>
      <xdr:spPr>
        <a:xfrm>
          <a:off x="1285875" y="3438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57150</xdr:rowOff>
    </xdr:from>
    <xdr:to>
      <xdr:col>3</xdr:col>
      <xdr:colOff>371475</xdr:colOff>
      <xdr:row>22</xdr:row>
      <xdr:rowOff>171450</xdr:rowOff>
    </xdr:to>
    <xdr:sp>
      <xdr:nvSpPr>
        <xdr:cNvPr id="8" name="AutoShape 12"/>
        <xdr:cNvSpPr>
          <a:spLocks/>
        </xdr:cNvSpPr>
      </xdr:nvSpPr>
      <xdr:spPr>
        <a:xfrm>
          <a:off x="1285875" y="3819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23</xdr:row>
      <xdr:rowOff>57150</xdr:rowOff>
    </xdr:from>
    <xdr:to>
      <xdr:col>3</xdr:col>
      <xdr:colOff>371475</xdr:colOff>
      <xdr:row>23</xdr:row>
      <xdr:rowOff>171450</xdr:rowOff>
    </xdr:to>
    <xdr:sp>
      <xdr:nvSpPr>
        <xdr:cNvPr id="9" name="AutoShape 13"/>
        <xdr:cNvSpPr>
          <a:spLocks/>
        </xdr:cNvSpPr>
      </xdr:nvSpPr>
      <xdr:spPr>
        <a:xfrm>
          <a:off x="1285875" y="4010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25</xdr:row>
      <xdr:rowOff>57150</xdr:rowOff>
    </xdr:from>
    <xdr:to>
      <xdr:col>3</xdr:col>
      <xdr:colOff>371475</xdr:colOff>
      <xdr:row>25</xdr:row>
      <xdr:rowOff>171450</xdr:rowOff>
    </xdr:to>
    <xdr:sp>
      <xdr:nvSpPr>
        <xdr:cNvPr id="10" name="AutoShape 14"/>
        <xdr:cNvSpPr>
          <a:spLocks/>
        </xdr:cNvSpPr>
      </xdr:nvSpPr>
      <xdr:spPr>
        <a:xfrm>
          <a:off x="1285875" y="4391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19</xdr:row>
      <xdr:rowOff>57150</xdr:rowOff>
    </xdr:from>
    <xdr:to>
      <xdr:col>8</xdr:col>
      <xdr:colOff>371475</xdr:colOff>
      <xdr:row>19</xdr:row>
      <xdr:rowOff>171450</xdr:rowOff>
    </xdr:to>
    <xdr:sp>
      <xdr:nvSpPr>
        <xdr:cNvPr id="11" name="AutoShape 20"/>
        <xdr:cNvSpPr>
          <a:spLocks/>
        </xdr:cNvSpPr>
      </xdr:nvSpPr>
      <xdr:spPr>
        <a:xfrm>
          <a:off x="4333875" y="3248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57150</xdr:rowOff>
    </xdr:from>
    <xdr:to>
      <xdr:col>8</xdr:col>
      <xdr:colOff>371475</xdr:colOff>
      <xdr:row>20</xdr:row>
      <xdr:rowOff>171450</xdr:rowOff>
    </xdr:to>
    <xdr:sp>
      <xdr:nvSpPr>
        <xdr:cNvPr id="12" name="AutoShape 21"/>
        <xdr:cNvSpPr>
          <a:spLocks/>
        </xdr:cNvSpPr>
      </xdr:nvSpPr>
      <xdr:spPr>
        <a:xfrm>
          <a:off x="4333875" y="3438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57150</xdr:rowOff>
    </xdr:from>
    <xdr:to>
      <xdr:col>8</xdr:col>
      <xdr:colOff>371475</xdr:colOff>
      <xdr:row>21</xdr:row>
      <xdr:rowOff>171450</xdr:rowOff>
    </xdr:to>
    <xdr:sp>
      <xdr:nvSpPr>
        <xdr:cNvPr id="13" name="AutoShape 22"/>
        <xdr:cNvSpPr>
          <a:spLocks/>
        </xdr:cNvSpPr>
      </xdr:nvSpPr>
      <xdr:spPr>
        <a:xfrm>
          <a:off x="4333875" y="3629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57150</xdr:rowOff>
    </xdr:from>
    <xdr:to>
      <xdr:col>8</xdr:col>
      <xdr:colOff>371475</xdr:colOff>
      <xdr:row>22</xdr:row>
      <xdr:rowOff>171450</xdr:rowOff>
    </xdr:to>
    <xdr:sp>
      <xdr:nvSpPr>
        <xdr:cNvPr id="14" name="AutoShape 23"/>
        <xdr:cNvSpPr>
          <a:spLocks/>
        </xdr:cNvSpPr>
      </xdr:nvSpPr>
      <xdr:spPr>
        <a:xfrm>
          <a:off x="4333875" y="3819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21</xdr:row>
      <xdr:rowOff>57150</xdr:rowOff>
    </xdr:from>
    <xdr:to>
      <xdr:col>3</xdr:col>
      <xdr:colOff>371475</xdr:colOff>
      <xdr:row>21</xdr:row>
      <xdr:rowOff>171450</xdr:rowOff>
    </xdr:to>
    <xdr:sp>
      <xdr:nvSpPr>
        <xdr:cNvPr id="15" name="AutoShape 25"/>
        <xdr:cNvSpPr>
          <a:spLocks/>
        </xdr:cNvSpPr>
      </xdr:nvSpPr>
      <xdr:spPr>
        <a:xfrm>
          <a:off x="1285875" y="3629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17</xdr:row>
      <xdr:rowOff>95250</xdr:rowOff>
    </xdr:from>
    <xdr:to>
      <xdr:col>7</xdr:col>
      <xdr:colOff>514350</xdr:colOff>
      <xdr:row>19</xdr:row>
      <xdr:rowOff>95250</xdr:rowOff>
    </xdr:to>
    <xdr:sp>
      <xdr:nvSpPr>
        <xdr:cNvPr id="16" name="AutoShape 29"/>
        <xdr:cNvSpPr>
          <a:spLocks/>
        </xdr:cNvSpPr>
      </xdr:nvSpPr>
      <xdr:spPr>
        <a:xfrm>
          <a:off x="3619500" y="3000375"/>
          <a:ext cx="361950" cy="285750"/>
        </a:xfrm>
        <a:prstGeom prst="star4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95250</xdr:rowOff>
    </xdr:from>
    <xdr:to>
      <xdr:col>2</xdr:col>
      <xdr:colOff>514350</xdr:colOff>
      <xdr:row>19</xdr:row>
      <xdr:rowOff>47625</xdr:rowOff>
    </xdr:to>
    <xdr:sp>
      <xdr:nvSpPr>
        <xdr:cNvPr id="17" name="AutoShape 30"/>
        <xdr:cNvSpPr>
          <a:spLocks/>
        </xdr:cNvSpPr>
      </xdr:nvSpPr>
      <xdr:spPr>
        <a:xfrm>
          <a:off x="571500" y="3000375"/>
          <a:ext cx="361950" cy="238125"/>
        </a:xfrm>
        <a:prstGeom prst="star4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485775</xdr:colOff>
      <xdr:row>1</xdr:row>
      <xdr:rowOff>19050</xdr:rowOff>
    </xdr:from>
    <xdr:to>
      <xdr:col>13</xdr:col>
      <xdr:colOff>581025</xdr:colOff>
      <xdr:row>6</xdr:row>
      <xdr:rowOff>76200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9550"/>
          <a:ext cx="5581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24</xdr:row>
      <xdr:rowOff>57150</xdr:rowOff>
    </xdr:from>
    <xdr:to>
      <xdr:col>3</xdr:col>
      <xdr:colOff>371475</xdr:colOff>
      <xdr:row>24</xdr:row>
      <xdr:rowOff>171450</xdr:rowOff>
    </xdr:to>
    <xdr:sp>
      <xdr:nvSpPr>
        <xdr:cNvPr id="19" name="AutoShape 33"/>
        <xdr:cNvSpPr>
          <a:spLocks/>
        </xdr:cNvSpPr>
      </xdr:nvSpPr>
      <xdr:spPr>
        <a:xfrm>
          <a:off x="1285875" y="4200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0.61225</cdr:x>
      <cdr:y>0.011</cdr:y>
    </cdr:from>
    <cdr:to>
      <cdr:x>0.97</cdr:x>
      <cdr:y>0.101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86375" y="57150"/>
          <a:ext cx="30861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0.64175</cdr:x>
      <cdr:y>0</cdr:y>
    </cdr:from>
    <cdr:to>
      <cdr:x>0.9995</cdr:x>
      <cdr:y>0.09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43550" y="0"/>
          <a:ext cx="30861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9525</xdr:rowOff>
    </xdr:from>
    <xdr:to>
      <xdr:col>5</xdr:col>
      <xdr:colOff>581025</xdr:colOff>
      <xdr:row>5</xdr:row>
      <xdr:rowOff>47625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52425"/>
          <a:ext cx="3057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11</xdr:col>
      <xdr:colOff>133350</xdr:colOff>
      <xdr:row>1</xdr:row>
      <xdr:rowOff>581025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3057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0.4085</cdr:y>
    </cdr:from>
    <cdr:to>
      <cdr:x>0.47825</cdr:x>
      <cdr:y>0.504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2409825"/>
          <a:ext cx="7905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GCL</a:t>
          </a:r>
        </a:p>
      </cdr:txBody>
    </cdr:sp>
  </cdr:relSizeAnchor>
  <cdr:relSizeAnchor xmlns:cdr="http://schemas.openxmlformats.org/drawingml/2006/chartDrawing">
    <cdr:from>
      <cdr:x>0.81075</cdr:x>
      <cdr:y>0.305</cdr:y>
    </cdr:from>
    <cdr:to>
      <cdr:x>0.88</cdr:x>
      <cdr:y>0.37075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800225"/>
          <a:ext cx="600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CCL</a:t>
          </a:r>
        </a:p>
      </cdr:txBody>
    </cdr:sp>
  </cdr:relSizeAnchor>
  <cdr:relSizeAnchor xmlns:cdr="http://schemas.openxmlformats.org/drawingml/2006/chartDrawing">
    <cdr:from>
      <cdr:x>0.56925</cdr:x>
      <cdr:y>0.0395</cdr:y>
    </cdr:from>
    <cdr:to>
      <cdr:x>0.9275</cdr:x>
      <cdr:y>0.13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14900" y="228600"/>
          <a:ext cx="309562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0.0135</cdr:y>
    </cdr:from>
    <cdr:to>
      <cdr:x>0.99225</cdr:x>
      <cdr:y>1</cdr:y>
    </cdr:to>
    <cdr:graphicFrame>
      <cdr:nvGraphicFramePr>
        <cdr:cNvPr id="1" name="Chart 7"/>
        <cdr:cNvGraphicFramePr/>
      </cdr:nvGraphicFramePr>
      <cdr:xfrm>
        <a:off x="4324350" y="76200"/>
        <a:ext cx="4238625" cy="58483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0.58375</cdr:x>
      <cdr:y>0.0135</cdr:y>
    </cdr:from>
    <cdr:to>
      <cdr:x>0.94175</cdr:x>
      <cdr:y>0.1035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5038725" y="76200"/>
          <a:ext cx="309562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0.031</cdr:y>
    </cdr:from>
    <cdr:to>
      <cdr:x>0.94</cdr:x>
      <cdr:y>0.12125</cdr:y>
    </cdr:to>
    <cdr:pic>
      <cdr:nvPicPr>
        <cdr:cNvPr id="1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029200" y="180975"/>
          <a:ext cx="30861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5"/>
  <sheetViews>
    <sheetView workbookViewId="0" topLeftCell="A1">
      <selection activeCell="Q10" sqref="Q10"/>
    </sheetView>
  </sheetViews>
  <sheetFormatPr defaultColWidth="9.140625" defaultRowHeight="12.75"/>
  <cols>
    <col min="1" max="1" width="2.421875" style="0" customWidth="1"/>
    <col min="2" max="2" width="3.8515625" style="0" customWidth="1"/>
    <col min="15" max="15" width="2.57421875" style="0" customWidth="1"/>
  </cols>
  <sheetData>
    <row r="1" spans="1:15" ht="15" customHeight="1" thickBo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2.75">
      <c r="A2" s="15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16"/>
    </row>
    <row r="3" spans="1:15" ht="12.75">
      <c r="A3" s="15"/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9"/>
      <c r="O3" s="16"/>
    </row>
    <row r="4" spans="1:15" ht="12.75">
      <c r="A4" s="15"/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9"/>
      <c r="O4" s="16"/>
    </row>
    <row r="5" spans="1:15" ht="12.75">
      <c r="A5" s="15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9"/>
      <c r="O5" s="16"/>
    </row>
    <row r="6" spans="1:15" ht="12.75">
      <c r="A6" s="15"/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9"/>
      <c r="O6" s="16"/>
    </row>
    <row r="7" spans="1:27" ht="15">
      <c r="A7" s="15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0"/>
      <c r="O7" s="4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5"/>
      <c r="B8" s="9"/>
      <c r="C8" s="8" t="s">
        <v>52</v>
      </c>
      <c r="D8" s="8"/>
      <c r="E8" s="8"/>
      <c r="F8" s="8"/>
      <c r="G8" s="8"/>
      <c r="H8" s="8"/>
      <c r="I8" s="8"/>
      <c r="J8" s="8"/>
      <c r="K8" s="8"/>
      <c r="L8" s="8"/>
      <c r="M8" s="8"/>
      <c r="N8" s="20"/>
      <c r="O8" s="4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7.5" customHeight="1">
      <c r="A9" s="15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0"/>
      <c r="O9" s="4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5"/>
      <c r="B10" s="9"/>
      <c r="C10" s="8"/>
      <c r="D10" s="8"/>
      <c r="E10" s="7"/>
      <c r="F10" s="8" t="s">
        <v>25</v>
      </c>
      <c r="G10" s="8"/>
      <c r="H10" s="8"/>
      <c r="I10" s="8"/>
      <c r="J10" s="8"/>
      <c r="K10" s="8"/>
      <c r="L10" s="8"/>
      <c r="M10" s="8"/>
      <c r="N10" s="20"/>
      <c r="O10" s="4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15"/>
      <c r="B11" s="9"/>
      <c r="C11" s="8"/>
      <c r="D11" s="8"/>
      <c r="E11" s="8"/>
      <c r="F11" s="8" t="s">
        <v>53</v>
      </c>
      <c r="G11" s="8"/>
      <c r="H11" s="8"/>
      <c r="I11" s="8"/>
      <c r="J11" s="8"/>
      <c r="K11" s="8"/>
      <c r="L11" s="8"/>
      <c r="M11" s="8"/>
      <c r="N11" s="20"/>
      <c r="O11" s="4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5"/>
      <c r="B12" s="9"/>
      <c r="C12" s="8"/>
      <c r="D12" s="8"/>
      <c r="E12" s="8"/>
      <c r="F12" s="8" t="s">
        <v>27</v>
      </c>
      <c r="G12" s="8"/>
      <c r="H12" s="8"/>
      <c r="I12" s="8"/>
      <c r="J12" s="8"/>
      <c r="K12" s="8"/>
      <c r="L12" s="8"/>
      <c r="M12" s="8"/>
      <c r="N12" s="20"/>
      <c r="O12" s="4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5"/>
      <c r="B13" s="9"/>
      <c r="C13" s="8"/>
      <c r="D13" s="8"/>
      <c r="E13" s="8"/>
      <c r="F13" s="8" t="s">
        <v>54</v>
      </c>
      <c r="G13" s="8"/>
      <c r="H13" s="8"/>
      <c r="I13" s="7"/>
      <c r="J13" s="8"/>
      <c r="K13" s="8"/>
      <c r="L13" s="8"/>
      <c r="M13" s="8"/>
      <c r="N13" s="20"/>
      <c r="O13" s="4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5"/>
      <c r="B14" s="9"/>
      <c r="C14" s="8"/>
      <c r="D14" s="8"/>
      <c r="E14" s="8"/>
      <c r="F14" s="8" t="s">
        <v>55</v>
      </c>
      <c r="G14" s="8"/>
      <c r="H14" s="8"/>
      <c r="I14" s="8"/>
      <c r="J14" s="8"/>
      <c r="K14" s="8"/>
      <c r="L14" s="8"/>
      <c r="M14" s="8"/>
      <c r="N14" s="20"/>
      <c r="O14" s="4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.5" customHeight="1">
      <c r="A15" s="15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/>
      <c r="O15" s="4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5"/>
      <c r="B16" s="9"/>
      <c r="C16" s="8" t="s">
        <v>56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20"/>
      <c r="O16" s="4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5"/>
      <c r="B17" s="9"/>
      <c r="C17" s="8" t="s">
        <v>57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20"/>
      <c r="O17" s="4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7.5" customHeight="1">
      <c r="A18" s="15"/>
      <c r="B18" s="9"/>
      <c r="C18" s="384"/>
      <c r="D18" s="8"/>
      <c r="E18" s="8"/>
      <c r="F18" s="8"/>
      <c r="G18" s="8"/>
      <c r="H18" s="384"/>
      <c r="I18" s="8"/>
      <c r="J18" s="8"/>
      <c r="K18" s="8"/>
      <c r="L18" s="8"/>
      <c r="M18" s="8"/>
      <c r="N18" s="20"/>
      <c r="O18" s="4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5"/>
      <c r="B19" s="9"/>
      <c r="C19" s="384"/>
      <c r="D19" s="8" t="s">
        <v>58</v>
      </c>
      <c r="E19" s="8"/>
      <c r="F19" s="8"/>
      <c r="G19" s="8"/>
      <c r="H19" s="384"/>
      <c r="I19" s="8" t="s">
        <v>59</v>
      </c>
      <c r="J19" s="8"/>
      <c r="K19" s="8"/>
      <c r="L19" s="8"/>
      <c r="M19" s="8"/>
      <c r="N19" s="20"/>
      <c r="O19" s="4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5"/>
      <c r="B20" s="9"/>
      <c r="C20" s="386"/>
      <c r="D20" s="8"/>
      <c r="E20" s="8" t="s">
        <v>60</v>
      </c>
      <c r="F20" s="8"/>
      <c r="G20" s="8"/>
      <c r="H20" s="385"/>
      <c r="I20" s="8"/>
      <c r="J20" s="8" t="s">
        <v>64</v>
      </c>
      <c r="K20" s="8"/>
      <c r="L20" s="8"/>
      <c r="M20" s="8"/>
      <c r="N20" s="20"/>
      <c r="O20" s="4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5"/>
      <c r="B21" s="9"/>
      <c r="C21" s="8"/>
      <c r="D21" s="8"/>
      <c r="E21" s="8" t="s">
        <v>61</v>
      </c>
      <c r="F21" s="8"/>
      <c r="G21" s="8"/>
      <c r="H21" s="8"/>
      <c r="I21" s="8"/>
      <c r="J21" s="8" t="s">
        <v>65</v>
      </c>
      <c r="K21" s="8"/>
      <c r="L21" s="8"/>
      <c r="M21" s="8"/>
      <c r="N21" s="20"/>
      <c r="O21" s="4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5"/>
      <c r="B22" s="9"/>
      <c r="C22" s="8"/>
      <c r="D22" s="8"/>
      <c r="E22" s="8" t="s">
        <v>67</v>
      </c>
      <c r="F22" s="8"/>
      <c r="G22" s="8"/>
      <c r="H22" s="8"/>
      <c r="I22" s="8"/>
      <c r="J22" s="8" t="s">
        <v>8</v>
      </c>
      <c r="K22" s="8"/>
      <c r="L22" s="8"/>
      <c r="M22" s="8"/>
      <c r="N22" s="20"/>
      <c r="O22" s="4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5"/>
      <c r="B23" s="9"/>
      <c r="C23" s="8"/>
      <c r="D23" s="8"/>
      <c r="E23" s="8" t="s">
        <v>62</v>
      </c>
      <c r="F23" s="8"/>
      <c r="G23" s="8"/>
      <c r="H23" s="8"/>
      <c r="I23" s="8"/>
      <c r="J23" s="8" t="s">
        <v>66</v>
      </c>
      <c r="K23" s="8"/>
      <c r="L23" s="8"/>
      <c r="M23" s="8"/>
      <c r="N23" s="20"/>
      <c r="O23" s="4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5"/>
      <c r="B24" s="9"/>
      <c r="C24" s="8"/>
      <c r="D24" s="8"/>
      <c r="E24" s="8" t="s">
        <v>63</v>
      </c>
      <c r="F24" s="8"/>
      <c r="G24" s="8"/>
      <c r="H24" s="8"/>
      <c r="I24" s="8"/>
      <c r="J24" s="8"/>
      <c r="K24" s="8"/>
      <c r="L24" s="8"/>
      <c r="M24" s="8"/>
      <c r="N24" s="20"/>
      <c r="O24" s="4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5"/>
      <c r="B25" s="9"/>
      <c r="C25" s="8"/>
      <c r="D25" s="8"/>
      <c r="E25" s="8" t="s">
        <v>88</v>
      </c>
      <c r="F25" s="8"/>
      <c r="G25" s="8"/>
      <c r="H25" s="8"/>
      <c r="I25" s="8"/>
      <c r="J25" s="8"/>
      <c r="K25" s="8"/>
      <c r="L25" s="8"/>
      <c r="M25" s="8"/>
      <c r="N25" s="20"/>
      <c r="O25" s="4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5"/>
      <c r="B26" s="9"/>
      <c r="C26" s="8"/>
      <c r="D26" s="8"/>
      <c r="E26" s="8" t="s">
        <v>90</v>
      </c>
      <c r="F26" s="8"/>
      <c r="G26" s="8"/>
      <c r="H26" s="8"/>
      <c r="I26" s="8"/>
      <c r="J26" s="8"/>
      <c r="K26" s="8"/>
      <c r="L26" s="8"/>
      <c r="M26" s="8"/>
      <c r="N26" s="20"/>
      <c r="O26" s="4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7.5" customHeight="1">
      <c r="A27" s="15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0"/>
      <c r="O27" s="4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5"/>
      <c r="B28" s="9"/>
      <c r="C28" s="8" t="s">
        <v>68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20"/>
      <c r="O28" s="4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5"/>
      <c r="B29" s="9"/>
      <c r="C29" s="8" t="s">
        <v>69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20"/>
      <c r="O29" s="4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5"/>
      <c r="B30" s="9"/>
      <c r="C30" s="8" t="s">
        <v>70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20"/>
      <c r="O30" s="4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5"/>
      <c r="B31" s="9"/>
      <c r="C31" s="8" t="s">
        <v>75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20"/>
      <c r="O31" s="4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thickBot="1">
      <c r="A32" s="15"/>
      <c r="B32" s="44"/>
      <c r="C32" s="45" t="s">
        <v>71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thickBot="1">
      <c r="A33" s="47"/>
      <c r="B33" s="50"/>
      <c r="C33" s="50"/>
      <c r="D33" s="48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4:7" ht="15">
      <c r="D115" s="1"/>
      <c r="E115" s="1"/>
      <c r="F115" s="1"/>
      <c r="G115" s="1"/>
    </row>
  </sheetData>
  <sheetProtection sheet="1" objects="1" scenarios="1"/>
  <mergeCells count="2">
    <mergeCell ref="H18:H20"/>
    <mergeCell ref="C18:C20"/>
  </mergeCells>
  <printOptions/>
  <pageMargins left="0.75" right="0.75" top="1" bottom="1" header="0.5" footer="0.5"/>
  <pageSetup horizontalDpi="600" verticalDpi="600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139"/>
  <sheetViews>
    <sheetView workbookViewId="0" topLeftCell="A1">
      <selection activeCell="O19" sqref="O19:Q19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9.7109375" style="0" customWidth="1"/>
    <col min="5" max="5" width="18.421875" style="0" customWidth="1"/>
    <col min="6" max="6" width="9.00390625" style="0" customWidth="1"/>
    <col min="7" max="7" width="9.8515625" style="0" customWidth="1"/>
    <col min="8" max="9" width="3.421875" style="0" customWidth="1"/>
    <col min="10" max="10" width="18.28125" style="0" customWidth="1"/>
    <col min="11" max="11" width="2.421875" style="0" customWidth="1"/>
    <col min="12" max="12" width="20.28125" style="0" customWidth="1"/>
    <col min="13" max="13" width="19.8515625" style="0" customWidth="1"/>
    <col min="14" max="14" width="2.7109375" style="0" customWidth="1"/>
    <col min="16" max="16" width="10.28125" style="0" customWidth="1"/>
    <col min="18" max="18" width="9.28125" style="0" customWidth="1"/>
    <col min="19" max="19" width="10.8515625" style="0" customWidth="1"/>
    <col min="21" max="21" width="14.7109375" style="0" customWidth="1"/>
    <col min="22" max="22" width="3.28125" style="0" customWidth="1"/>
    <col min="23" max="23" width="3.140625" style="0" customWidth="1"/>
    <col min="24" max="24" width="15.7109375" style="0" customWidth="1"/>
    <col min="25" max="25" width="11.57421875" style="0" customWidth="1"/>
    <col min="26" max="30" width="8.00390625" style="0" customWidth="1"/>
  </cols>
  <sheetData>
    <row r="1" ht="13.5" thickBot="1">
      <c r="AA1" s="132">
        <v>0.01</v>
      </c>
    </row>
    <row r="2" spans="2:24" ht="13.5" thickBot="1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8" ht="12.75">
      <c r="B3" s="187"/>
      <c r="C3" s="210"/>
      <c r="D3" s="211"/>
      <c r="E3" s="211"/>
      <c r="F3" s="211"/>
      <c r="G3" s="11"/>
      <c r="H3" s="11"/>
      <c r="I3" s="11"/>
      <c r="J3" s="11"/>
      <c r="K3" s="11"/>
      <c r="L3" s="11"/>
      <c r="M3" s="71"/>
      <c r="N3" s="191"/>
      <c r="O3" s="14"/>
      <c r="P3" s="14"/>
      <c r="Q3" s="14"/>
      <c r="R3" s="14"/>
      <c r="S3" s="14"/>
      <c r="T3" s="14"/>
      <c r="U3" s="14"/>
      <c r="V3" s="14"/>
      <c r="W3" s="14"/>
      <c r="X3" s="14"/>
      <c r="AB3" s="13"/>
    </row>
    <row r="4" spans="2:28" ht="12.75">
      <c r="B4" s="187"/>
      <c r="C4" s="212"/>
      <c r="D4" s="14"/>
      <c r="E4" s="14"/>
      <c r="F4" s="14"/>
      <c r="G4" s="12"/>
      <c r="H4" s="12"/>
      <c r="I4" s="12"/>
      <c r="J4" s="12"/>
      <c r="K4" s="12"/>
      <c r="L4" s="12"/>
      <c r="M4" s="72"/>
      <c r="N4" s="191"/>
      <c r="O4" s="14"/>
      <c r="P4" s="14"/>
      <c r="Q4" s="14"/>
      <c r="R4" s="14"/>
      <c r="S4" s="14"/>
      <c r="T4" s="14"/>
      <c r="U4" s="14"/>
      <c r="V4" s="14"/>
      <c r="W4" s="14"/>
      <c r="X4" s="14"/>
      <c r="AB4" s="13"/>
    </row>
    <row r="5" spans="2:28" ht="12.75">
      <c r="B5" s="188"/>
      <c r="C5" s="212"/>
      <c r="D5" s="14"/>
      <c r="E5" s="14"/>
      <c r="F5" s="14"/>
      <c r="G5" s="12"/>
      <c r="H5" s="222"/>
      <c r="I5" s="222"/>
      <c r="J5" s="222"/>
      <c r="K5" s="222"/>
      <c r="L5" s="222"/>
      <c r="M5" s="223"/>
      <c r="N5" s="191"/>
      <c r="O5" s="14"/>
      <c r="P5" s="14"/>
      <c r="Q5" s="14"/>
      <c r="R5" s="14"/>
      <c r="S5" s="14"/>
      <c r="T5" s="14"/>
      <c r="U5" s="14"/>
      <c r="V5" s="14"/>
      <c r="W5" s="14"/>
      <c r="X5" s="14"/>
      <c r="AB5" s="13"/>
    </row>
    <row r="6" spans="2:28" ht="4.5" customHeight="1" thickBot="1">
      <c r="B6" s="187"/>
      <c r="C6" s="212"/>
      <c r="D6" s="14"/>
      <c r="E6" s="556"/>
      <c r="F6" s="14"/>
      <c r="G6" s="12"/>
      <c r="H6" s="224"/>
      <c r="I6" s="224"/>
      <c r="J6" s="224"/>
      <c r="K6" s="224"/>
      <c r="L6" s="224"/>
      <c r="M6" s="225"/>
      <c r="N6" s="191"/>
      <c r="O6" s="14"/>
      <c r="P6" s="14"/>
      <c r="Q6" s="14"/>
      <c r="R6" s="14"/>
      <c r="S6" s="14"/>
      <c r="T6" s="14"/>
      <c r="U6" s="14"/>
      <c r="V6" s="14"/>
      <c r="W6" s="14"/>
      <c r="X6" s="14"/>
      <c r="AB6" s="13"/>
    </row>
    <row r="7" spans="2:29" ht="13.5" customHeight="1">
      <c r="B7" s="189"/>
      <c r="C7" s="376"/>
      <c r="D7" s="376"/>
      <c r="E7" s="221"/>
      <c r="F7" s="376"/>
      <c r="G7" s="209"/>
      <c r="H7" s="221"/>
      <c r="I7" s="221"/>
      <c r="J7" s="221"/>
      <c r="K7" s="221"/>
      <c r="L7" s="221"/>
      <c r="M7" s="376"/>
      <c r="N7" s="192"/>
      <c r="O7" s="63"/>
      <c r="P7" s="63"/>
      <c r="Q7" s="63"/>
      <c r="R7" s="63"/>
      <c r="S7" s="63"/>
      <c r="T7" s="63"/>
      <c r="U7" s="63"/>
      <c r="V7" s="63"/>
      <c r="W7" s="14"/>
      <c r="X7" s="14"/>
      <c r="Z7" s="6"/>
      <c r="AA7" s="6"/>
      <c r="AB7" s="128"/>
      <c r="AC7" s="6"/>
    </row>
    <row r="8" spans="2:29" ht="21.75" customHeight="1" thickBot="1">
      <c r="B8" s="189"/>
      <c r="C8" s="181" t="s">
        <v>1</v>
      </c>
      <c r="D8" s="182"/>
      <c r="E8" s="182"/>
      <c r="F8" s="182"/>
      <c r="G8" s="182"/>
      <c r="H8" s="182"/>
      <c r="I8" s="182"/>
      <c r="J8" s="182"/>
      <c r="K8" s="182"/>
      <c r="L8" s="182"/>
      <c r="M8" s="416"/>
      <c r="N8" s="193"/>
      <c r="O8" s="403"/>
      <c r="P8" s="403"/>
      <c r="Q8" s="403"/>
      <c r="R8" s="403"/>
      <c r="S8" s="403"/>
      <c r="T8" s="403"/>
      <c r="U8" s="403"/>
      <c r="V8" s="63"/>
      <c r="W8" s="14"/>
      <c r="X8" s="14"/>
      <c r="Z8" s="387"/>
      <c r="AA8" s="387"/>
      <c r="AB8" s="387"/>
      <c r="AC8" s="14"/>
    </row>
    <row r="9" spans="2:29" ht="6" customHeight="1" thickBot="1">
      <c r="B9" s="189"/>
      <c r="C9" s="245"/>
      <c r="D9" s="246"/>
      <c r="E9" s="246"/>
      <c r="F9" s="246"/>
      <c r="G9" s="246"/>
      <c r="H9" s="246"/>
      <c r="I9" s="246"/>
      <c r="J9" s="246"/>
      <c r="K9" s="246"/>
      <c r="L9" s="249"/>
      <c r="M9" s="259"/>
      <c r="N9" s="193"/>
      <c r="O9" s="22"/>
      <c r="P9" s="22"/>
      <c r="Q9" s="22"/>
      <c r="R9" s="22"/>
      <c r="S9" s="22"/>
      <c r="T9" s="22"/>
      <c r="U9" s="22"/>
      <c r="V9" s="63"/>
      <c r="W9" s="14"/>
      <c r="X9" s="14"/>
      <c r="Z9" s="14"/>
      <c r="AA9" s="14"/>
      <c r="AB9" s="129"/>
      <c r="AC9" s="14"/>
    </row>
    <row r="10" spans="2:29" ht="15" customHeight="1" thickBot="1">
      <c r="B10" s="189"/>
      <c r="C10" s="427" t="s">
        <v>77</v>
      </c>
      <c r="D10" s="428"/>
      <c r="E10" s="428"/>
      <c r="F10" s="428"/>
      <c r="G10" s="428"/>
      <c r="H10" s="429"/>
      <c r="I10" s="430"/>
      <c r="J10" s="431"/>
      <c r="K10" s="246"/>
      <c r="L10" s="404" t="s">
        <v>152</v>
      </c>
      <c r="M10" s="405"/>
      <c r="N10" s="194"/>
      <c r="O10" s="22"/>
      <c r="P10" s="22"/>
      <c r="Q10" s="22"/>
      <c r="R10" s="22"/>
      <c r="S10" s="22"/>
      <c r="T10" s="22"/>
      <c r="U10" s="22"/>
      <c r="V10" s="63"/>
      <c r="W10" s="14"/>
      <c r="X10" s="14"/>
      <c r="Z10" s="14"/>
      <c r="AA10" s="14"/>
      <c r="AB10" s="129"/>
      <c r="AC10" s="14"/>
    </row>
    <row r="11" spans="2:29" ht="6" customHeight="1" thickBot="1">
      <c r="B11" s="189"/>
      <c r="C11" s="248"/>
      <c r="D11" s="249"/>
      <c r="E11" s="249"/>
      <c r="F11" s="249"/>
      <c r="G11" s="249"/>
      <c r="H11" s="246"/>
      <c r="I11" s="246"/>
      <c r="J11" s="246"/>
      <c r="K11" s="246"/>
      <c r="L11" s="404"/>
      <c r="M11" s="405"/>
      <c r="N11" s="194"/>
      <c r="O11" s="22"/>
      <c r="P11" s="22"/>
      <c r="Q11" s="22"/>
      <c r="R11" s="22"/>
      <c r="S11" s="22"/>
      <c r="T11" s="22"/>
      <c r="U11" s="22"/>
      <c r="V11" s="63"/>
      <c r="W11" s="14"/>
      <c r="X11" s="14"/>
      <c r="Z11" s="14"/>
      <c r="AA11" s="14"/>
      <c r="AB11" s="129"/>
      <c r="AC11" s="14"/>
    </row>
    <row r="12" spans="2:29" ht="15" customHeight="1" thickBot="1">
      <c r="B12" s="189"/>
      <c r="C12" s="427" t="s">
        <v>76</v>
      </c>
      <c r="D12" s="428"/>
      <c r="E12" s="428"/>
      <c r="F12" s="250"/>
      <c r="G12" s="251"/>
      <c r="H12" s="266"/>
      <c r="I12" s="266"/>
      <c r="J12" s="303"/>
      <c r="K12" s="264"/>
      <c r="L12" s="406"/>
      <c r="M12" s="405"/>
      <c r="N12" s="194"/>
      <c r="O12" s="22"/>
      <c r="P12" s="22"/>
      <c r="Q12" s="22"/>
      <c r="R12" s="22"/>
      <c r="S12" s="22"/>
      <c r="T12" s="22"/>
      <c r="U12" s="14"/>
      <c r="V12" s="63"/>
      <c r="W12" s="14"/>
      <c r="X12" s="14"/>
      <c r="Z12" s="14"/>
      <c r="AA12" s="14"/>
      <c r="AB12" s="129"/>
      <c r="AC12" s="14"/>
    </row>
    <row r="13" spans="2:29" ht="6" customHeight="1" thickBot="1">
      <c r="B13" s="189"/>
      <c r="C13" s="252"/>
      <c r="D13" s="250"/>
      <c r="E13" s="250"/>
      <c r="F13" s="250"/>
      <c r="G13" s="251"/>
      <c r="H13" s="266"/>
      <c r="I13" s="266"/>
      <c r="J13" s="264"/>
      <c r="K13" s="264"/>
      <c r="L13" s="404" t="s">
        <v>106</v>
      </c>
      <c r="M13" s="417"/>
      <c r="N13" s="195"/>
      <c r="O13" s="22"/>
      <c r="P13" s="22"/>
      <c r="Q13" s="22"/>
      <c r="R13" s="22"/>
      <c r="S13" s="22"/>
      <c r="T13" s="22"/>
      <c r="U13" s="14"/>
      <c r="V13" s="63"/>
      <c r="W13" s="14"/>
      <c r="X13" s="14"/>
      <c r="Z13" s="14"/>
      <c r="AA13" s="14"/>
      <c r="AB13" s="129"/>
      <c r="AC13" s="14"/>
    </row>
    <row r="14" spans="2:29" ht="15" customHeight="1" thickBot="1">
      <c r="B14" s="189"/>
      <c r="C14" s="252" t="s">
        <v>0</v>
      </c>
      <c r="D14" s="250"/>
      <c r="E14" s="250"/>
      <c r="F14" s="253"/>
      <c r="G14" s="251"/>
      <c r="H14" s="267"/>
      <c r="I14" s="267"/>
      <c r="J14" s="304"/>
      <c r="K14" s="264"/>
      <c r="L14" s="406"/>
      <c r="M14" s="417"/>
      <c r="N14" s="195"/>
      <c r="O14" s="22"/>
      <c r="P14" s="22"/>
      <c r="Q14" s="22"/>
      <c r="R14" s="22"/>
      <c r="S14" s="22"/>
      <c r="T14" s="22"/>
      <c r="U14" s="14"/>
      <c r="V14" s="63"/>
      <c r="W14" s="14"/>
      <c r="X14" s="14"/>
      <c r="Z14" s="14"/>
      <c r="AA14" s="130"/>
      <c r="AB14" s="131"/>
      <c r="AC14" s="14"/>
    </row>
    <row r="15" spans="2:28" ht="6" customHeight="1" thickBot="1">
      <c r="B15" s="189"/>
      <c r="C15" s="252"/>
      <c r="D15" s="250"/>
      <c r="E15" s="250"/>
      <c r="F15" s="251"/>
      <c r="G15" s="251"/>
      <c r="H15" s="258"/>
      <c r="I15" s="258"/>
      <c r="J15" s="265"/>
      <c r="K15" s="264"/>
      <c r="L15" s="404" t="s">
        <v>153</v>
      </c>
      <c r="M15" s="417"/>
      <c r="N15" s="195"/>
      <c r="O15" s="22"/>
      <c r="P15" s="22"/>
      <c r="Q15" s="22"/>
      <c r="R15" s="22"/>
      <c r="S15" s="22"/>
      <c r="T15" s="22"/>
      <c r="U15" s="14"/>
      <c r="V15" s="63"/>
      <c r="W15" s="14"/>
      <c r="X15" s="14"/>
      <c r="AB15" s="13"/>
    </row>
    <row r="16" spans="2:28" ht="15" customHeight="1" thickBot="1">
      <c r="B16" s="189"/>
      <c r="C16" s="252" t="s">
        <v>2</v>
      </c>
      <c r="D16" s="250"/>
      <c r="E16" s="250"/>
      <c r="F16" s="253"/>
      <c r="G16" s="253"/>
      <c r="H16" s="258"/>
      <c r="I16" s="258"/>
      <c r="J16" s="305"/>
      <c r="K16" s="265"/>
      <c r="L16" s="406"/>
      <c r="M16" s="417"/>
      <c r="N16" s="195"/>
      <c r="O16" s="22"/>
      <c r="P16" s="22"/>
      <c r="Q16" s="22"/>
      <c r="R16" s="22"/>
      <c r="S16" s="22"/>
      <c r="T16" s="22"/>
      <c r="U16" s="14"/>
      <c r="V16" s="63"/>
      <c r="W16" s="14"/>
      <c r="X16" s="14"/>
      <c r="AB16" s="13"/>
    </row>
    <row r="17" spans="2:28" ht="6" customHeight="1" thickBot="1">
      <c r="B17" s="189"/>
      <c r="C17" s="252"/>
      <c r="D17" s="250"/>
      <c r="E17" s="250"/>
      <c r="F17" s="253"/>
      <c r="G17" s="253"/>
      <c r="H17" s="268"/>
      <c r="I17" s="268"/>
      <c r="J17" s="265"/>
      <c r="K17" s="265"/>
      <c r="L17" s="404" t="s">
        <v>107</v>
      </c>
      <c r="M17" s="417"/>
      <c r="N17" s="195"/>
      <c r="O17" s="22"/>
      <c r="P17" s="22"/>
      <c r="Q17" s="22"/>
      <c r="R17" s="22"/>
      <c r="S17" s="22"/>
      <c r="T17" s="22"/>
      <c r="U17" s="14"/>
      <c r="V17" s="63"/>
      <c r="W17" s="14"/>
      <c r="X17" s="14"/>
      <c r="AB17" s="13"/>
    </row>
    <row r="18" spans="2:24" ht="15" customHeight="1" thickBot="1">
      <c r="B18" s="189"/>
      <c r="C18" s="252" t="s">
        <v>3</v>
      </c>
      <c r="D18" s="250"/>
      <c r="E18" s="250"/>
      <c r="F18" s="253"/>
      <c r="G18" s="253"/>
      <c r="H18" s="265"/>
      <c r="I18" s="265"/>
      <c r="J18" s="306"/>
      <c r="K18" s="265"/>
      <c r="L18" s="406"/>
      <c r="M18" s="417"/>
      <c r="N18" s="195"/>
      <c r="O18" s="23"/>
      <c r="P18" s="23"/>
      <c r="Q18" s="23"/>
      <c r="R18" s="23"/>
      <c r="S18" s="23"/>
      <c r="T18" s="22"/>
      <c r="U18" s="14"/>
      <c r="V18" s="63"/>
      <c r="W18" s="14"/>
      <c r="X18" s="14"/>
    </row>
    <row r="19" spans="2:24" ht="6" customHeight="1" thickBot="1">
      <c r="B19" s="189"/>
      <c r="C19" s="256"/>
      <c r="D19" s="253"/>
      <c r="E19" s="253"/>
      <c r="F19" s="253"/>
      <c r="G19" s="253"/>
      <c r="H19" s="265"/>
      <c r="I19" s="265"/>
      <c r="J19" s="265"/>
      <c r="K19" s="265"/>
      <c r="L19" s="404" t="s">
        <v>101</v>
      </c>
      <c r="M19" s="405"/>
      <c r="N19" s="194"/>
      <c r="O19" s="403"/>
      <c r="P19" s="403"/>
      <c r="Q19" s="403"/>
      <c r="R19" s="403"/>
      <c r="S19" s="403"/>
      <c r="T19" s="23"/>
      <c r="U19" s="14"/>
      <c r="V19" s="63"/>
      <c r="W19" s="14"/>
      <c r="X19" s="14"/>
    </row>
    <row r="20" spans="2:24" ht="16.5" thickBot="1">
      <c r="B20" s="189"/>
      <c r="C20" s="252" t="s">
        <v>4</v>
      </c>
      <c r="D20" s="253"/>
      <c r="E20" s="253"/>
      <c r="F20" s="253"/>
      <c r="G20" s="253"/>
      <c r="H20" s="265"/>
      <c r="I20" s="265"/>
      <c r="J20" s="305"/>
      <c r="K20" s="265"/>
      <c r="L20" s="406"/>
      <c r="M20" s="405"/>
      <c r="N20" s="194"/>
      <c r="O20" s="55"/>
      <c r="P20" s="22"/>
      <c r="Q20" s="22"/>
      <c r="R20" s="56"/>
      <c r="S20" s="23"/>
      <c r="T20" s="23"/>
      <c r="U20" s="14"/>
      <c r="V20" s="63"/>
      <c r="W20" s="14"/>
      <c r="X20" s="14"/>
    </row>
    <row r="21" spans="2:24" ht="6" customHeight="1" thickBot="1">
      <c r="B21" s="189"/>
      <c r="C21" s="252"/>
      <c r="D21" s="253"/>
      <c r="E21" s="253"/>
      <c r="F21" s="253"/>
      <c r="G21" s="253"/>
      <c r="H21" s="265"/>
      <c r="I21" s="265"/>
      <c r="J21" s="269"/>
      <c r="K21" s="265"/>
      <c r="L21" s="262"/>
      <c r="M21" s="261"/>
      <c r="N21" s="194"/>
      <c r="O21" s="55"/>
      <c r="P21" s="22"/>
      <c r="Q21" s="22"/>
      <c r="R21" s="56"/>
      <c r="S21" s="23"/>
      <c r="T21" s="23"/>
      <c r="U21" s="14"/>
      <c r="V21" s="63"/>
      <c r="W21" s="14"/>
      <c r="X21" s="14"/>
    </row>
    <row r="22" spans="2:24" ht="15" customHeight="1" thickBot="1">
      <c r="B22" s="189"/>
      <c r="C22" s="252" t="s">
        <v>151</v>
      </c>
      <c r="D22" s="253"/>
      <c r="E22" s="253"/>
      <c r="F22" s="253"/>
      <c r="G22" s="253"/>
      <c r="H22" s="265"/>
      <c r="I22" s="265"/>
      <c r="J22" s="307"/>
      <c r="K22" s="265"/>
      <c r="L22" s="262"/>
      <c r="M22" s="261"/>
      <c r="N22" s="194"/>
      <c r="O22" s="55"/>
      <c r="P22" s="22"/>
      <c r="Q22" s="22"/>
      <c r="R22" s="56"/>
      <c r="S22" s="23"/>
      <c r="T22" s="23"/>
      <c r="U22" s="14"/>
      <c r="V22" s="63"/>
      <c r="W22" s="14"/>
      <c r="X22" s="14"/>
    </row>
    <row r="23" spans="2:24" ht="6" customHeight="1" thickBot="1">
      <c r="B23" s="189"/>
      <c r="C23" s="256"/>
      <c r="D23" s="253"/>
      <c r="E23" s="253"/>
      <c r="F23" s="253"/>
      <c r="G23" s="253"/>
      <c r="H23" s="265"/>
      <c r="I23" s="265"/>
      <c r="J23" s="265"/>
      <c r="K23" s="265"/>
      <c r="L23" s="404" t="s">
        <v>153</v>
      </c>
      <c r="M23" s="405"/>
      <c r="N23" s="194"/>
      <c r="O23" s="55"/>
      <c r="P23" s="22"/>
      <c r="Q23" s="22"/>
      <c r="R23" s="56"/>
      <c r="S23" s="23"/>
      <c r="T23" s="23"/>
      <c r="U23" s="14"/>
      <c r="V23" s="63"/>
      <c r="W23" s="14"/>
      <c r="X23" s="14"/>
    </row>
    <row r="24" spans="2:24" ht="15" customHeight="1" thickBot="1">
      <c r="B24" s="189"/>
      <c r="C24" s="252" t="s">
        <v>109</v>
      </c>
      <c r="D24" s="250"/>
      <c r="E24" s="250"/>
      <c r="F24" s="253"/>
      <c r="G24" s="253"/>
      <c r="H24" s="265"/>
      <c r="I24" s="265"/>
      <c r="J24" s="305"/>
      <c r="K24" s="265"/>
      <c r="L24" s="406"/>
      <c r="M24" s="405"/>
      <c r="N24" s="194"/>
      <c r="O24" s="55"/>
      <c r="P24" s="22"/>
      <c r="Q24" s="22"/>
      <c r="R24" s="56"/>
      <c r="S24" s="23"/>
      <c r="T24" s="23"/>
      <c r="U24" s="14"/>
      <c r="V24" s="63"/>
      <c r="W24" s="14"/>
      <c r="X24" s="14"/>
    </row>
    <row r="25" spans="2:24" ht="6" customHeight="1">
      <c r="B25" s="189"/>
      <c r="C25" s="257"/>
      <c r="D25" s="258"/>
      <c r="E25" s="258"/>
      <c r="F25" s="258"/>
      <c r="G25" s="258"/>
      <c r="H25" s="265"/>
      <c r="I25" s="265"/>
      <c r="J25" s="269"/>
      <c r="K25" s="247"/>
      <c r="L25" s="249"/>
      <c r="M25" s="263"/>
      <c r="N25" s="196"/>
      <c r="O25" s="55"/>
      <c r="P25" s="22"/>
      <c r="Q25" s="22"/>
      <c r="R25" s="56"/>
      <c r="S25" s="23"/>
      <c r="T25" s="23"/>
      <c r="U25" s="14"/>
      <c r="V25" s="63"/>
      <c r="W25" s="14"/>
      <c r="X25" s="14"/>
    </row>
    <row r="26" spans="2:24" ht="21.75" customHeight="1" thickBot="1">
      <c r="B26" s="189"/>
      <c r="C26" s="181" t="s">
        <v>11</v>
      </c>
      <c r="D26" s="182"/>
      <c r="E26" s="182"/>
      <c r="F26" s="182"/>
      <c r="G26" s="182"/>
      <c r="H26" s="182"/>
      <c r="I26" s="182"/>
      <c r="J26" s="182"/>
      <c r="K26" s="182"/>
      <c r="L26" s="182"/>
      <c r="M26" s="416"/>
      <c r="N26" s="193"/>
      <c r="O26" s="22"/>
      <c r="P26" s="22"/>
      <c r="Q26" s="22"/>
      <c r="R26" s="56"/>
      <c r="S26" s="23"/>
      <c r="T26" s="23"/>
      <c r="U26" s="14"/>
      <c r="V26" s="63"/>
      <c r="W26" s="14"/>
      <c r="X26" s="14"/>
    </row>
    <row r="27" spans="2:24" ht="6" customHeight="1" thickBot="1">
      <c r="B27" s="189"/>
      <c r="C27" s="213"/>
      <c r="D27" s="214"/>
      <c r="E27" s="214"/>
      <c r="F27" s="214"/>
      <c r="G27" s="214"/>
      <c r="H27" s="214"/>
      <c r="I27" s="214"/>
      <c r="J27" s="214"/>
      <c r="K27" s="238"/>
      <c r="L27" s="238"/>
      <c r="M27" s="239"/>
      <c r="N27" s="193"/>
      <c r="O27" s="22"/>
      <c r="P27" s="22"/>
      <c r="Q27" s="22"/>
      <c r="R27" s="56"/>
      <c r="S27" s="23"/>
      <c r="T27" s="23"/>
      <c r="U27" s="14"/>
      <c r="V27" s="63"/>
      <c r="W27" s="14"/>
      <c r="X27" s="14"/>
    </row>
    <row r="28" spans="2:24" ht="15" customHeight="1" thickBot="1">
      <c r="B28" s="189"/>
      <c r="C28" s="432" t="s">
        <v>16</v>
      </c>
      <c r="D28" s="433"/>
      <c r="E28" s="433"/>
      <c r="F28" s="433"/>
      <c r="G28" s="433"/>
      <c r="H28" s="226"/>
      <c r="I28" s="226"/>
      <c r="J28" s="308"/>
      <c r="K28" s="238"/>
      <c r="L28" s="238"/>
      <c r="M28" s="239"/>
      <c r="N28" s="193"/>
      <c r="O28" s="22"/>
      <c r="P28" s="22"/>
      <c r="Q28" s="22"/>
      <c r="R28" s="57"/>
      <c r="S28" s="23"/>
      <c r="T28" s="23"/>
      <c r="U28" s="14"/>
      <c r="V28" s="63"/>
      <c r="W28" s="14"/>
      <c r="X28" s="14"/>
    </row>
    <row r="29" spans="2:24" ht="6" customHeight="1" thickBot="1">
      <c r="B29" s="189"/>
      <c r="C29" s="227"/>
      <c r="D29" s="228"/>
      <c r="E29" s="228"/>
      <c r="F29" s="228"/>
      <c r="G29" s="228"/>
      <c r="H29" s="226"/>
      <c r="I29" s="226"/>
      <c r="J29" s="241"/>
      <c r="K29" s="240"/>
      <c r="L29" s="434" t="s">
        <v>150</v>
      </c>
      <c r="M29" s="435"/>
      <c r="N29" s="193"/>
      <c r="O29" s="22"/>
      <c r="P29" s="22"/>
      <c r="Q29" s="22"/>
      <c r="R29" s="57"/>
      <c r="S29" s="23"/>
      <c r="T29" s="23"/>
      <c r="U29" s="14"/>
      <c r="V29" s="63"/>
      <c r="W29" s="14"/>
      <c r="X29" s="14"/>
    </row>
    <row r="30" spans="2:31" ht="15" customHeight="1" thickBot="1">
      <c r="B30" s="189"/>
      <c r="C30" s="398" t="s">
        <v>116</v>
      </c>
      <c r="D30" s="399"/>
      <c r="E30" s="399"/>
      <c r="F30" s="399"/>
      <c r="G30" s="399"/>
      <c r="H30" s="399"/>
      <c r="I30" s="399"/>
      <c r="J30" s="305"/>
      <c r="K30" s="240"/>
      <c r="L30" s="399"/>
      <c r="M30" s="435"/>
      <c r="N30" s="197"/>
      <c r="O30" s="22"/>
      <c r="P30" s="22"/>
      <c r="Q30" s="22"/>
      <c r="R30" s="57"/>
      <c r="S30" s="23"/>
      <c r="T30" s="23"/>
      <c r="U30" s="14"/>
      <c r="V30" s="63"/>
      <c r="W30" s="14"/>
      <c r="X30" s="64"/>
      <c r="Y30" s="27"/>
      <c r="Z30" s="27"/>
      <c r="AA30" s="27"/>
      <c r="AB30" s="27"/>
      <c r="AC30" s="28"/>
      <c r="AD30" s="27"/>
      <c r="AE30" s="26"/>
    </row>
    <row r="31" spans="2:31" ht="15" customHeight="1">
      <c r="B31" s="189"/>
      <c r="C31" s="436" t="s">
        <v>133</v>
      </c>
      <c r="D31" s="399"/>
      <c r="E31" s="399"/>
      <c r="F31" s="399"/>
      <c r="G31" s="399"/>
      <c r="H31" s="399"/>
      <c r="I31" s="399"/>
      <c r="J31" s="242"/>
      <c r="K31" s="216"/>
      <c r="L31" s="434"/>
      <c r="M31" s="435"/>
      <c r="N31" s="197"/>
      <c r="O31" s="22"/>
      <c r="P31" s="22"/>
      <c r="Q31" s="22"/>
      <c r="R31" s="57"/>
      <c r="S31" s="23"/>
      <c r="T31" s="23"/>
      <c r="U31" s="14"/>
      <c r="V31" s="63"/>
      <c r="W31" s="14"/>
      <c r="X31" s="64"/>
      <c r="Y31" s="27"/>
      <c r="Z31" s="27"/>
      <c r="AA31" s="27"/>
      <c r="AB31" s="27"/>
      <c r="AC31" s="28"/>
      <c r="AD31" s="27"/>
      <c r="AE31" s="26"/>
    </row>
    <row r="32" spans="2:31" ht="6" customHeight="1" thickBot="1">
      <c r="B32" s="189"/>
      <c r="C32" s="229"/>
      <c r="D32" s="230"/>
      <c r="E32" s="230"/>
      <c r="F32" s="230"/>
      <c r="G32" s="230"/>
      <c r="H32" s="230"/>
      <c r="I32" s="230"/>
      <c r="J32" s="218"/>
      <c r="K32" s="240"/>
      <c r="L32" s="434" t="s">
        <v>150</v>
      </c>
      <c r="M32" s="435"/>
      <c r="N32" s="197"/>
      <c r="O32" s="403"/>
      <c r="P32" s="403"/>
      <c r="Q32" s="22"/>
      <c r="R32" s="22"/>
      <c r="S32" s="23"/>
      <c r="T32" s="23"/>
      <c r="U32" s="14"/>
      <c r="V32" s="63"/>
      <c r="W32" s="14"/>
      <c r="X32" s="64"/>
      <c r="Y32" s="27"/>
      <c r="Z32" s="27"/>
      <c r="AA32" s="27"/>
      <c r="AB32" s="27"/>
      <c r="AC32" s="27"/>
      <c r="AD32" s="27"/>
      <c r="AE32" s="26"/>
    </row>
    <row r="33" spans="2:31" ht="15" customHeight="1" thickBot="1">
      <c r="B33" s="189"/>
      <c r="C33" s="398" t="s">
        <v>7</v>
      </c>
      <c r="D33" s="399"/>
      <c r="E33" s="399"/>
      <c r="F33" s="399"/>
      <c r="G33" s="399"/>
      <c r="H33" s="399"/>
      <c r="I33" s="399"/>
      <c r="J33" s="309"/>
      <c r="K33" s="240"/>
      <c r="L33" s="399"/>
      <c r="M33" s="435"/>
      <c r="N33" s="197"/>
      <c r="O33" s="58"/>
      <c r="P33" s="22"/>
      <c r="Q33" s="22"/>
      <c r="R33" s="59"/>
      <c r="S33" s="23"/>
      <c r="T33" s="23"/>
      <c r="U33" s="14"/>
      <c r="V33" s="63"/>
      <c r="W33" s="14"/>
      <c r="X33" s="64"/>
      <c r="Y33" s="27"/>
      <c r="Z33" s="27"/>
      <c r="AA33" s="27"/>
      <c r="AB33" s="27"/>
      <c r="AC33" s="27"/>
      <c r="AD33" s="27"/>
      <c r="AE33" s="26"/>
    </row>
    <row r="34" spans="2:31" ht="6" customHeight="1" thickBot="1">
      <c r="B34" s="189"/>
      <c r="C34" s="231"/>
      <c r="D34" s="232"/>
      <c r="E34" s="232"/>
      <c r="F34" s="233"/>
      <c r="G34" s="234"/>
      <c r="H34" s="230"/>
      <c r="I34" s="230"/>
      <c r="J34" s="218"/>
      <c r="K34" s="240"/>
      <c r="L34" s="434" t="s">
        <v>102</v>
      </c>
      <c r="M34" s="435"/>
      <c r="N34" s="197"/>
      <c r="O34" s="60"/>
      <c r="P34" s="22"/>
      <c r="Q34" s="22"/>
      <c r="R34" s="59"/>
      <c r="S34" s="23"/>
      <c r="T34" s="23"/>
      <c r="U34" s="14"/>
      <c r="V34" s="63"/>
      <c r="W34" s="14"/>
      <c r="X34" s="64"/>
      <c r="Y34" s="27"/>
      <c r="Z34" s="27"/>
      <c r="AA34" s="27"/>
      <c r="AB34" s="27"/>
      <c r="AC34" s="27"/>
      <c r="AD34" s="27"/>
      <c r="AE34" s="26"/>
    </row>
    <row r="35" spans="2:31" ht="15" customHeight="1" thickBot="1">
      <c r="B35" s="189"/>
      <c r="C35" s="398" t="s">
        <v>9</v>
      </c>
      <c r="D35" s="399"/>
      <c r="E35" s="399"/>
      <c r="F35" s="399"/>
      <c r="G35" s="399"/>
      <c r="H35" s="399"/>
      <c r="I35" s="399"/>
      <c r="J35" s="310"/>
      <c r="K35" s="240"/>
      <c r="L35" s="399"/>
      <c r="M35" s="435"/>
      <c r="N35" s="197"/>
      <c r="O35" s="60"/>
      <c r="P35" s="22"/>
      <c r="Q35" s="22"/>
      <c r="R35" s="59"/>
      <c r="S35" s="23"/>
      <c r="T35" s="23"/>
      <c r="U35" s="14"/>
      <c r="V35" s="63"/>
      <c r="W35" s="14"/>
      <c r="X35" s="65"/>
      <c r="Y35" s="27"/>
      <c r="Z35" s="27"/>
      <c r="AA35" s="27"/>
      <c r="AB35" s="27"/>
      <c r="AC35" s="27"/>
      <c r="AD35" s="27"/>
      <c r="AE35" s="26"/>
    </row>
    <row r="36" spans="2:31" ht="6" customHeight="1" thickBot="1">
      <c r="B36" s="189"/>
      <c r="C36" s="231"/>
      <c r="D36" s="232"/>
      <c r="E36" s="232"/>
      <c r="F36" s="230"/>
      <c r="G36" s="230"/>
      <c r="H36" s="235"/>
      <c r="I36" s="235"/>
      <c r="J36" s="218"/>
      <c r="K36" s="216"/>
      <c r="L36" s="443"/>
      <c r="M36" s="435"/>
      <c r="N36" s="197"/>
      <c r="O36" s="60"/>
      <c r="P36" s="22"/>
      <c r="Q36" s="22"/>
      <c r="R36" s="61"/>
      <c r="S36" s="23"/>
      <c r="T36" s="23"/>
      <c r="U36" s="14"/>
      <c r="V36" s="63"/>
      <c r="W36" s="14"/>
      <c r="X36" s="66"/>
      <c r="Y36" s="29"/>
      <c r="Z36" s="29"/>
      <c r="AA36" s="29"/>
      <c r="AB36" s="29"/>
      <c r="AC36" s="29"/>
      <c r="AD36" s="29"/>
      <c r="AE36" s="29"/>
    </row>
    <row r="37" spans="2:31" ht="15" customHeight="1" thickBot="1">
      <c r="B37" s="189"/>
      <c r="C37" s="398" t="s">
        <v>10</v>
      </c>
      <c r="D37" s="399"/>
      <c r="E37" s="399"/>
      <c r="F37" s="399"/>
      <c r="G37" s="399"/>
      <c r="H37" s="399"/>
      <c r="I37" s="399"/>
      <c r="J37" s="311">
        <f>IF($H$10="Sec. Containment","N/A",IF($H$10="Pond","N/A",IF($H$10="Landfill cover",($J$18*$J$35*$J$12*1.2),($J$18*$J$35*$J$12*1.2))))</f>
        <v>0</v>
      </c>
      <c r="K37" s="240"/>
      <c r="L37" s="399"/>
      <c r="M37" s="435"/>
      <c r="N37" s="197"/>
      <c r="O37" s="60"/>
      <c r="P37" s="22"/>
      <c r="Q37" s="22"/>
      <c r="R37" s="61"/>
      <c r="S37" s="23"/>
      <c r="T37" s="23"/>
      <c r="U37" s="14"/>
      <c r="V37" s="63"/>
      <c r="W37" s="14"/>
      <c r="X37" s="66"/>
      <c r="Y37" s="29"/>
      <c r="Z37" s="29"/>
      <c r="AA37" s="29"/>
      <c r="AB37" s="29"/>
      <c r="AC37" s="29"/>
      <c r="AD37" s="29"/>
      <c r="AE37" s="29"/>
    </row>
    <row r="38" spans="2:31" ht="6" customHeight="1">
      <c r="B38" s="189"/>
      <c r="C38" s="236"/>
      <c r="D38" s="237"/>
      <c r="E38" s="237"/>
      <c r="F38" s="237"/>
      <c r="G38" s="237"/>
      <c r="H38" s="237"/>
      <c r="I38" s="237"/>
      <c r="J38" s="218"/>
      <c r="K38" s="240"/>
      <c r="L38" s="219"/>
      <c r="M38" s="220"/>
      <c r="N38" s="197"/>
      <c r="O38" s="60"/>
      <c r="P38" s="22"/>
      <c r="Q38" s="22"/>
      <c r="R38" s="61"/>
      <c r="S38" s="23"/>
      <c r="T38" s="23"/>
      <c r="U38" s="14"/>
      <c r="V38" s="63"/>
      <c r="W38" s="14"/>
      <c r="X38" s="66"/>
      <c r="Y38" s="29"/>
      <c r="Z38" s="29"/>
      <c r="AA38" s="29"/>
      <c r="AB38" s="29"/>
      <c r="AC38" s="29"/>
      <c r="AD38" s="29"/>
      <c r="AE38" s="29"/>
    </row>
    <row r="39" spans="2:31" ht="21.75" customHeight="1" thickBot="1">
      <c r="B39" s="189"/>
      <c r="C39" s="446" t="s">
        <v>99</v>
      </c>
      <c r="D39" s="447"/>
      <c r="E39" s="447"/>
      <c r="F39" s="447"/>
      <c r="G39" s="447"/>
      <c r="H39" s="447"/>
      <c r="I39" s="447"/>
      <c r="J39" s="447"/>
      <c r="K39" s="447"/>
      <c r="L39" s="447"/>
      <c r="M39" s="448"/>
      <c r="N39" s="197"/>
      <c r="O39" s="60"/>
      <c r="P39" s="22"/>
      <c r="Q39" s="22"/>
      <c r="R39" s="61"/>
      <c r="S39" s="23"/>
      <c r="T39" s="23"/>
      <c r="U39" s="14"/>
      <c r="V39" s="63"/>
      <c r="W39" s="14"/>
      <c r="X39" s="66"/>
      <c r="Y39" s="29"/>
      <c r="Z39" s="29"/>
      <c r="AA39" s="29"/>
      <c r="AB39" s="29"/>
      <c r="AC39" s="29"/>
      <c r="AD39" s="29"/>
      <c r="AE39" s="29"/>
    </row>
    <row r="40" spans="2:31" ht="15" customHeight="1" thickBot="1">
      <c r="B40" s="189"/>
      <c r="C40" s="272"/>
      <c r="D40" s="262"/>
      <c r="E40" s="262"/>
      <c r="F40" s="262"/>
      <c r="G40" s="471" t="s">
        <v>84</v>
      </c>
      <c r="H40" s="471"/>
      <c r="I40" s="471"/>
      <c r="J40" s="444" t="s">
        <v>85</v>
      </c>
      <c r="K40" s="404"/>
      <c r="L40" s="275" t="s">
        <v>86</v>
      </c>
      <c r="M40" s="261"/>
      <c r="N40" s="197"/>
      <c r="O40" s="60"/>
      <c r="P40" s="22"/>
      <c r="Q40" s="22"/>
      <c r="R40" s="61"/>
      <c r="S40" s="23"/>
      <c r="T40" s="23"/>
      <c r="U40" s="14"/>
      <c r="V40" s="63"/>
      <c r="W40" s="14"/>
      <c r="X40" s="66"/>
      <c r="Y40" s="29"/>
      <c r="Z40" s="29"/>
      <c r="AA40" s="29"/>
      <c r="AB40" s="29"/>
      <c r="AC40" s="29"/>
      <c r="AD40" s="29"/>
      <c r="AE40" s="29"/>
    </row>
    <row r="41" spans="2:31" ht="15" customHeight="1" thickBot="1">
      <c r="B41" s="189"/>
      <c r="C41" s="390" t="s">
        <v>87</v>
      </c>
      <c r="D41" s="391"/>
      <c r="E41" s="391"/>
      <c r="F41" s="437"/>
      <c r="G41" s="438">
        <v>12</v>
      </c>
      <c r="H41" s="439"/>
      <c r="I41" s="440"/>
      <c r="J41" s="441">
        <v>240</v>
      </c>
      <c r="K41" s="442"/>
      <c r="L41" s="313">
        <v>360</v>
      </c>
      <c r="M41" s="274"/>
      <c r="N41" s="197"/>
      <c r="O41" s="60"/>
      <c r="P41" s="22"/>
      <c r="Q41" s="22"/>
      <c r="R41" s="61"/>
      <c r="S41" s="23"/>
      <c r="T41" s="23"/>
      <c r="U41" s="14"/>
      <c r="V41" s="63"/>
      <c r="W41" s="14"/>
      <c r="X41" s="66"/>
      <c r="Y41" s="29"/>
      <c r="Z41" s="29"/>
      <c r="AA41" s="29"/>
      <c r="AB41" s="29"/>
      <c r="AC41" s="29"/>
      <c r="AD41" s="29"/>
      <c r="AE41" s="29"/>
    </row>
    <row r="42" spans="2:31" ht="6" customHeight="1" thickBot="1">
      <c r="B42" s="189"/>
      <c r="C42" s="252"/>
      <c r="D42" s="251"/>
      <c r="E42" s="251"/>
      <c r="F42" s="251"/>
      <c r="G42" s="276"/>
      <c r="H42" s="276"/>
      <c r="I42" s="276"/>
      <c r="J42" s="277"/>
      <c r="K42" s="277"/>
      <c r="L42" s="276"/>
      <c r="M42" s="274"/>
      <c r="N42" s="197"/>
      <c r="O42" s="60"/>
      <c r="P42" s="22"/>
      <c r="Q42" s="22"/>
      <c r="R42" s="61"/>
      <c r="S42" s="23"/>
      <c r="T42" s="23"/>
      <c r="U42" s="14"/>
      <c r="V42" s="63"/>
      <c r="W42" s="14"/>
      <c r="X42" s="66"/>
      <c r="Y42" s="29"/>
      <c r="Z42" s="29"/>
      <c r="AA42" s="29"/>
      <c r="AB42" s="29"/>
      <c r="AC42" s="29"/>
      <c r="AD42" s="29"/>
      <c r="AE42" s="29"/>
    </row>
    <row r="43" spans="2:31" ht="15" customHeight="1" thickBot="1">
      <c r="B43" s="189"/>
      <c r="C43" s="272" t="s">
        <v>83</v>
      </c>
      <c r="D43" s="262"/>
      <c r="E43" s="262"/>
      <c r="F43" s="262"/>
      <c r="G43" s="270"/>
      <c r="H43" s="270"/>
      <c r="I43" s="270"/>
      <c r="J43" s="305"/>
      <c r="K43" s="264"/>
      <c r="L43" s="260" t="s">
        <v>103</v>
      </c>
      <c r="M43" s="261"/>
      <c r="N43" s="197"/>
      <c r="P43" s="22"/>
      <c r="Q43" s="22"/>
      <c r="R43" s="61"/>
      <c r="S43" s="23"/>
      <c r="T43" s="23"/>
      <c r="U43" s="14"/>
      <c r="V43" s="63"/>
      <c r="W43" s="14"/>
      <c r="X43" s="66"/>
      <c r="Y43" s="29"/>
      <c r="Z43" s="29"/>
      <c r="AA43" s="29"/>
      <c r="AB43" s="29"/>
      <c r="AC43" s="29"/>
      <c r="AD43" s="29"/>
      <c r="AE43" s="29"/>
    </row>
    <row r="44" spans="2:31" ht="6" customHeight="1" thickBot="1">
      <c r="B44" s="189"/>
      <c r="C44" s="272"/>
      <c r="D44" s="262"/>
      <c r="E44" s="262"/>
      <c r="F44" s="262"/>
      <c r="G44" s="449"/>
      <c r="H44" s="449"/>
      <c r="I44" s="449"/>
      <c r="J44" s="444"/>
      <c r="K44" s="404"/>
      <c r="L44" s="275"/>
      <c r="M44" s="261"/>
      <c r="N44" s="197"/>
      <c r="O44" s="60"/>
      <c r="P44" s="22"/>
      <c r="Q44" s="22"/>
      <c r="R44" s="61"/>
      <c r="S44" s="23"/>
      <c r="T44" s="23"/>
      <c r="U44" s="14"/>
      <c r="V44" s="63"/>
      <c r="W44" s="14"/>
      <c r="X44" s="67"/>
      <c r="Y44" s="30"/>
      <c r="Z44" s="31"/>
      <c r="AA44" s="29"/>
      <c r="AB44" s="29"/>
      <c r="AC44" s="29"/>
      <c r="AD44" s="29"/>
      <c r="AE44" s="29"/>
    </row>
    <row r="45" spans="2:31" ht="15" customHeight="1" thickBot="1">
      <c r="B45" s="189"/>
      <c r="C45" s="390" t="s">
        <v>89</v>
      </c>
      <c r="D45" s="391"/>
      <c r="E45" s="391"/>
      <c r="F45" s="391"/>
      <c r="G45" s="445"/>
      <c r="H45" s="445"/>
      <c r="I45" s="445"/>
      <c r="J45" s="314"/>
      <c r="K45" s="287" t="s">
        <v>100</v>
      </c>
      <c r="L45" s="286"/>
      <c r="M45" s="261"/>
      <c r="N45" s="197"/>
      <c r="O45" s="60"/>
      <c r="P45" s="22"/>
      <c r="Q45" s="22"/>
      <c r="R45" s="61"/>
      <c r="S45" s="23"/>
      <c r="T45" s="23"/>
      <c r="U45" s="14"/>
      <c r="V45" s="63"/>
      <c r="W45" s="14"/>
      <c r="X45" s="66"/>
      <c r="Y45" s="30"/>
      <c r="Z45" s="29"/>
      <c r="AA45" s="29"/>
      <c r="AB45" s="29"/>
      <c r="AC45" s="29"/>
      <c r="AD45" s="29"/>
      <c r="AE45" s="29"/>
    </row>
    <row r="46" spans="2:31" ht="6" customHeight="1">
      <c r="B46" s="189"/>
      <c r="C46" s="273"/>
      <c r="D46" s="265"/>
      <c r="E46" s="265"/>
      <c r="F46" s="258"/>
      <c r="G46" s="271"/>
      <c r="H46" s="288"/>
      <c r="I46" s="288"/>
      <c r="J46" s="265"/>
      <c r="K46" s="247"/>
      <c r="L46" s="265"/>
      <c r="M46" s="278"/>
      <c r="N46" s="198"/>
      <c r="O46" s="60"/>
      <c r="P46" s="22"/>
      <c r="Q46" s="22"/>
      <c r="R46" s="23"/>
      <c r="S46" s="23"/>
      <c r="T46" s="23"/>
      <c r="U46" s="14"/>
      <c r="V46" s="63"/>
      <c r="W46" s="14"/>
      <c r="X46" s="32"/>
      <c r="Y46" s="30"/>
      <c r="Z46" s="29"/>
      <c r="AA46" s="29"/>
      <c r="AB46" s="29"/>
      <c r="AC46" s="29"/>
      <c r="AD46" s="29"/>
      <c r="AE46" s="29"/>
    </row>
    <row r="47" spans="2:31" ht="21.75" customHeight="1" thickBot="1">
      <c r="B47" s="189"/>
      <c r="C47" s="446" t="s">
        <v>12</v>
      </c>
      <c r="D47" s="447"/>
      <c r="E47" s="447"/>
      <c r="F47" s="447"/>
      <c r="G47" s="447"/>
      <c r="H47" s="447"/>
      <c r="I47" s="447"/>
      <c r="J47" s="447"/>
      <c r="K47" s="447"/>
      <c r="L47" s="447"/>
      <c r="M47" s="448"/>
      <c r="N47" s="199"/>
      <c r="O47" s="60"/>
      <c r="P47" s="22"/>
      <c r="Q47" s="22"/>
      <c r="R47" s="23"/>
      <c r="S47" s="23"/>
      <c r="T47" s="23"/>
      <c r="U47" s="14"/>
      <c r="V47" s="63"/>
      <c r="W47" s="14"/>
      <c r="X47" s="66"/>
      <c r="Y47" s="30"/>
      <c r="Z47" s="29"/>
      <c r="AA47" s="29"/>
      <c r="AB47" s="29"/>
      <c r="AC47" s="29"/>
      <c r="AD47" s="29"/>
      <c r="AE47" s="29"/>
    </row>
    <row r="48" spans="2:31" ht="6" customHeight="1">
      <c r="B48" s="189"/>
      <c r="C48" s="292"/>
      <c r="D48" s="293"/>
      <c r="E48" s="293"/>
      <c r="F48" s="293"/>
      <c r="G48" s="293"/>
      <c r="H48" s="293"/>
      <c r="I48" s="293"/>
      <c r="J48" s="293"/>
      <c r="K48" s="293"/>
      <c r="L48" s="293"/>
      <c r="M48" s="294"/>
      <c r="N48" s="200"/>
      <c r="O48" s="60"/>
      <c r="P48" s="22"/>
      <c r="Q48" s="22"/>
      <c r="R48" s="23"/>
      <c r="S48" s="23"/>
      <c r="T48" s="23"/>
      <c r="U48" s="14"/>
      <c r="V48" s="63"/>
      <c r="W48" s="14"/>
      <c r="X48" s="32"/>
      <c r="Y48" s="30"/>
      <c r="Z48" s="29"/>
      <c r="AA48" s="29"/>
      <c r="AB48" s="29"/>
      <c r="AC48" s="29"/>
      <c r="AD48" s="29"/>
      <c r="AE48" s="29"/>
    </row>
    <row r="49" spans="2:31" ht="15" customHeight="1">
      <c r="B49" s="189"/>
      <c r="C49" s="289"/>
      <c r="D49" s="290"/>
      <c r="E49" s="290"/>
      <c r="F49" s="290"/>
      <c r="G49" s="290"/>
      <c r="H49" s="290"/>
      <c r="I49" s="290"/>
      <c r="J49" s="295" t="s">
        <v>5</v>
      </c>
      <c r="K49" s="216"/>
      <c r="L49" s="296" t="s">
        <v>6</v>
      </c>
      <c r="M49" s="297"/>
      <c r="N49" s="198"/>
      <c r="O49" s="22"/>
      <c r="P49" s="22"/>
      <c r="Q49" s="22"/>
      <c r="R49" s="23"/>
      <c r="S49" s="23"/>
      <c r="T49" s="23"/>
      <c r="U49" s="14"/>
      <c r="V49" s="63"/>
      <c r="W49" s="14"/>
      <c r="X49" s="66"/>
      <c r="Y49" s="30"/>
      <c r="Z49" s="29"/>
      <c r="AA49" s="29"/>
      <c r="AB49" s="29"/>
      <c r="AC49" s="29"/>
      <c r="AD49" s="29"/>
      <c r="AE49" s="29"/>
    </row>
    <row r="50" spans="2:31" ht="6" customHeight="1" thickBot="1">
      <c r="B50" s="189"/>
      <c r="C50" s="289"/>
      <c r="D50" s="290"/>
      <c r="E50" s="290"/>
      <c r="F50" s="290"/>
      <c r="G50" s="290"/>
      <c r="H50" s="290"/>
      <c r="I50" s="290"/>
      <c r="J50" s="290"/>
      <c r="K50" s="290"/>
      <c r="L50" s="290"/>
      <c r="M50" s="297"/>
      <c r="N50" s="198"/>
      <c r="O50" s="22"/>
      <c r="P50" s="22"/>
      <c r="Q50" s="22"/>
      <c r="R50" s="23"/>
      <c r="S50" s="23"/>
      <c r="T50" s="23"/>
      <c r="U50" s="14"/>
      <c r="V50" s="63"/>
      <c r="W50" s="14"/>
      <c r="X50" s="32"/>
      <c r="Y50" s="30"/>
      <c r="Z50" s="29"/>
      <c r="AA50" s="29"/>
      <c r="AB50" s="29"/>
      <c r="AC50" s="29"/>
      <c r="AD50" s="29"/>
      <c r="AE50" s="29"/>
    </row>
    <row r="51" spans="2:31" ht="15" customHeight="1" thickBot="1">
      <c r="B51" s="189"/>
      <c r="C51" s="398" t="s">
        <v>154</v>
      </c>
      <c r="D51" s="399"/>
      <c r="E51" s="399"/>
      <c r="F51" s="399"/>
      <c r="G51" s="399"/>
      <c r="H51" s="399"/>
      <c r="I51" s="399"/>
      <c r="J51" s="311">
        <f>$J$16*$J$18*$J$12*$J$22</f>
        <v>0</v>
      </c>
      <c r="K51" s="215"/>
      <c r="L51" s="311">
        <f>$J$30*$J$12</f>
        <v>0</v>
      </c>
      <c r="M51" s="298"/>
      <c r="N51" s="201"/>
      <c r="O51" s="22"/>
      <c r="P51" s="22"/>
      <c r="Q51" s="22"/>
      <c r="R51" s="23"/>
      <c r="S51" s="23"/>
      <c r="T51" s="23"/>
      <c r="U51" s="14"/>
      <c r="V51" s="63"/>
      <c r="W51" s="14"/>
      <c r="X51" s="66"/>
      <c r="Y51" s="30"/>
      <c r="Z51" s="29"/>
      <c r="AA51" s="29"/>
      <c r="AB51" s="29"/>
      <c r="AC51" s="29"/>
      <c r="AD51" s="29"/>
      <c r="AE51" s="29"/>
    </row>
    <row r="52" spans="2:31" ht="6" customHeight="1" thickBot="1">
      <c r="B52" s="189"/>
      <c r="C52" s="291"/>
      <c r="D52" s="290"/>
      <c r="E52" s="290"/>
      <c r="F52" s="290"/>
      <c r="G52" s="290"/>
      <c r="H52" s="290"/>
      <c r="I52" s="290"/>
      <c r="J52" s="299"/>
      <c r="K52" s="215"/>
      <c r="L52" s="215"/>
      <c r="M52" s="243"/>
      <c r="N52" s="198"/>
      <c r="O52" s="403"/>
      <c r="P52" s="403"/>
      <c r="Q52" s="403"/>
      <c r="R52" s="22"/>
      <c r="S52" s="22"/>
      <c r="T52" s="22"/>
      <c r="U52" s="14"/>
      <c r="V52" s="63"/>
      <c r="W52" s="14"/>
      <c r="X52" s="32"/>
      <c r="Y52" s="30"/>
      <c r="Z52" s="30"/>
      <c r="AA52" s="29"/>
      <c r="AB52" s="29"/>
      <c r="AC52" s="29"/>
      <c r="AD52" s="29"/>
      <c r="AE52" s="29"/>
    </row>
    <row r="53" spans="2:31" ht="15" customHeight="1" thickBot="1">
      <c r="B53" s="189"/>
      <c r="C53" s="398" t="s">
        <v>155</v>
      </c>
      <c r="D53" s="399"/>
      <c r="E53" s="399"/>
      <c r="F53" s="399"/>
      <c r="G53" s="399"/>
      <c r="H53" s="399"/>
      <c r="I53" s="399"/>
      <c r="J53" s="315">
        <f>$J$20*$J$14*$J$12*$J$18*(12.75/9.81)*$J$22</f>
        <v>0</v>
      </c>
      <c r="K53" s="215"/>
      <c r="L53" s="305" t="s">
        <v>24</v>
      </c>
      <c r="M53" s="243"/>
      <c r="N53" s="198"/>
      <c r="O53" s="22"/>
      <c r="P53" s="56"/>
      <c r="Q53" s="22"/>
      <c r="R53" s="23"/>
      <c r="S53" s="21"/>
      <c r="T53" s="23"/>
      <c r="U53" s="14"/>
      <c r="V53" s="63"/>
      <c r="W53" s="14"/>
      <c r="X53" s="66"/>
      <c r="Y53" s="30"/>
      <c r="Z53" s="29"/>
      <c r="AA53" s="29"/>
      <c r="AB53" s="29"/>
      <c r="AC53" s="29"/>
      <c r="AD53" s="29"/>
      <c r="AE53" s="29"/>
    </row>
    <row r="54" spans="2:31" ht="6" customHeight="1" thickBot="1">
      <c r="B54" s="189"/>
      <c r="C54" s="291"/>
      <c r="D54" s="290"/>
      <c r="E54" s="290"/>
      <c r="F54" s="290"/>
      <c r="G54" s="290"/>
      <c r="H54" s="290"/>
      <c r="I54" s="290"/>
      <c r="J54" s="302"/>
      <c r="K54" s="215"/>
      <c r="L54" s="218"/>
      <c r="M54" s="243"/>
      <c r="N54" s="198"/>
      <c r="O54" s="22"/>
      <c r="P54" s="56"/>
      <c r="Q54" s="22"/>
      <c r="R54" s="23"/>
      <c r="S54" s="21"/>
      <c r="T54" s="22"/>
      <c r="U54" s="14"/>
      <c r="V54" s="63"/>
      <c r="W54" s="14"/>
      <c r="X54" s="32"/>
      <c r="Y54" s="30"/>
      <c r="Z54" s="30"/>
      <c r="AA54" s="29"/>
      <c r="AB54" s="29"/>
      <c r="AC54" s="29"/>
      <c r="AD54" s="29"/>
      <c r="AE54" s="29"/>
    </row>
    <row r="55" spans="2:31" ht="15" customHeight="1" thickBot="1">
      <c r="B55" s="189"/>
      <c r="C55" s="398" t="s">
        <v>156</v>
      </c>
      <c r="D55" s="399"/>
      <c r="E55" s="399"/>
      <c r="F55" s="399"/>
      <c r="G55" s="399"/>
      <c r="H55" s="399"/>
      <c r="I55" s="399"/>
      <c r="J55" s="311">
        <f>$J$24*$J$18*$J$12</f>
        <v>0</v>
      </c>
      <c r="K55" s="215"/>
      <c r="L55" s="311">
        <f>$J$33*$J$12</f>
        <v>0</v>
      </c>
      <c r="M55" s="243"/>
      <c r="N55" s="198"/>
      <c r="O55" s="22"/>
      <c r="P55" s="56"/>
      <c r="Q55" s="22"/>
      <c r="R55" s="23"/>
      <c r="S55" s="21"/>
      <c r="T55" s="23"/>
      <c r="U55" s="14"/>
      <c r="V55" s="63"/>
      <c r="W55" s="14"/>
      <c r="X55" s="66"/>
      <c r="Y55" s="29"/>
      <c r="Z55" s="29"/>
      <c r="AA55" s="29"/>
      <c r="AB55" s="29"/>
      <c r="AC55" s="29"/>
      <c r="AD55" s="29"/>
      <c r="AE55" s="29"/>
    </row>
    <row r="56" spans="2:31" ht="6" customHeight="1" thickBot="1">
      <c r="B56" s="189"/>
      <c r="C56" s="291"/>
      <c r="D56" s="290"/>
      <c r="E56" s="290"/>
      <c r="F56" s="290"/>
      <c r="G56" s="290"/>
      <c r="H56" s="290"/>
      <c r="I56" s="290"/>
      <c r="J56" s="299"/>
      <c r="K56" s="215"/>
      <c r="L56" s="299"/>
      <c r="M56" s="243"/>
      <c r="N56" s="198"/>
      <c r="O56" s="22"/>
      <c r="P56" s="56"/>
      <c r="Q56" s="22"/>
      <c r="R56" s="23"/>
      <c r="S56" s="21"/>
      <c r="T56" s="23"/>
      <c r="U56" s="14"/>
      <c r="V56" s="63"/>
      <c r="W56" s="14"/>
      <c r="X56" s="66"/>
      <c r="Y56" s="30"/>
      <c r="Z56" s="29"/>
      <c r="AA56" s="29"/>
      <c r="AB56" s="29"/>
      <c r="AC56" s="29"/>
      <c r="AD56" s="29"/>
      <c r="AE56" s="29"/>
    </row>
    <row r="57" spans="2:24" ht="15" customHeight="1" thickBot="1">
      <c r="B57" s="189"/>
      <c r="C57" s="398" t="s">
        <v>157</v>
      </c>
      <c r="D57" s="399"/>
      <c r="E57" s="399"/>
      <c r="F57" s="399"/>
      <c r="G57" s="399"/>
      <c r="H57" s="399"/>
      <c r="I57" s="399"/>
      <c r="J57" s="311">
        <f>0.23*$J$12</f>
        <v>0</v>
      </c>
      <c r="K57" s="215"/>
      <c r="L57" s="311">
        <f>0.1*$J$12</f>
        <v>0</v>
      </c>
      <c r="M57" s="243"/>
      <c r="N57" s="198"/>
      <c r="O57" s="22"/>
      <c r="P57" s="56"/>
      <c r="Q57" s="22"/>
      <c r="R57" s="23"/>
      <c r="S57" s="21"/>
      <c r="T57" s="23"/>
      <c r="U57" s="14"/>
      <c r="V57" s="63"/>
      <c r="W57" s="14"/>
      <c r="X57" s="14"/>
    </row>
    <row r="58" spans="2:25" ht="6" customHeight="1" thickBot="1">
      <c r="B58" s="189"/>
      <c r="C58" s="291"/>
      <c r="D58" s="290"/>
      <c r="E58" s="290"/>
      <c r="F58" s="290"/>
      <c r="G58" s="290"/>
      <c r="H58" s="290"/>
      <c r="I58" s="290"/>
      <c r="J58" s="299"/>
      <c r="K58" s="215"/>
      <c r="L58" s="299"/>
      <c r="M58" s="243"/>
      <c r="N58" s="198"/>
      <c r="O58" s="22"/>
      <c r="P58" s="56"/>
      <c r="Q58" s="22"/>
      <c r="R58" s="23"/>
      <c r="S58" s="21"/>
      <c r="T58" s="23"/>
      <c r="U58" s="14"/>
      <c r="V58" s="63"/>
      <c r="W58" s="14"/>
      <c r="X58" s="14"/>
      <c r="Y58" s="13"/>
    </row>
    <row r="59" spans="2:24" ht="15" customHeight="1" thickBot="1">
      <c r="B59" s="189"/>
      <c r="C59" s="398" t="s">
        <v>158</v>
      </c>
      <c r="D59" s="399"/>
      <c r="E59" s="399"/>
      <c r="F59" s="399"/>
      <c r="G59" s="399"/>
      <c r="H59" s="399"/>
      <c r="I59" s="435"/>
      <c r="J59" s="311">
        <f>0.35*$J$12</f>
        <v>0</v>
      </c>
      <c r="K59" s="215"/>
      <c r="L59" s="311">
        <v>0</v>
      </c>
      <c r="M59" s="243"/>
      <c r="N59" s="198"/>
      <c r="O59" s="22"/>
      <c r="P59" s="56"/>
      <c r="Q59" s="22"/>
      <c r="R59" s="23"/>
      <c r="S59" s="21"/>
      <c r="T59" s="23"/>
      <c r="U59" s="14"/>
      <c r="V59" s="63"/>
      <c r="W59" s="14"/>
      <c r="X59" s="14"/>
    </row>
    <row r="60" spans="2:24" ht="6" customHeight="1" thickBot="1">
      <c r="B60" s="189"/>
      <c r="C60" s="436"/>
      <c r="D60" s="399"/>
      <c r="E60" s="399"/>
      <c r="F60" s="399"/>
      <c r="G60" s="399"/>
      <c r="H60" s="399"/>
      <c r="I60" s="399"/>
      <c r="J60" s="218"/>
      <c r="K60" s="215"/>
      <c r="L60" s="218"/>
      <c r="M60" s="243"/>
      <c r="N60" s="198"/>
      <c r="O60" s="22"/>
      <c r="P60" s="56"/>
      <c r="Q60" s="22"/>
      <c r="R60" s="23"/>
      <c r="S60" s="21"/>
      <c r="T60" s="23"/>
      <c r="U60" s="14"/>
      <c r="V60" s="63"/>
      <c r="W60" s="14"/>
      <c r="X60" s="14"/>
    </row>
    <row r="61" spans="2:24" ht="15" customHeight="1" thickBot="1">
      <c r="B61" s="189"/>
      <c r="C61" s="450" t="s">
        <v>159</v>
      </c>
      <c r="D61" s="451"/>
      <c r="E61" s="451"/>
      <c r="F61" s="451"/>
      <c r="G61" s="451"/>
      <c r="H61" s="451"/>
      <c r="I61" s="451"/>
      <c r="J61" s="311">
        <f>$J$37</f>
        <v>0</v>
      </c>
      <c r="K61" s="215"/>
      <c r="L61" s="218"/>
      <c r="M61" s="243"/>
      <c r="N61" s="198"/>
      <c r="O61" s="22"/>
      <c r="P61" s="56"/>
      <c r="Q61" s="22"/>
      <c r="R61" s="23"/>
      <c r="S61" s="21"/>
      <c r="T61" s="23"/>
      <c r="U61" s="14"/>
      <c r="V61" s="63"/>
      <c r="W61" s="14"/>
      <c r="X61" s="14"/>
    </row>
    <row r="62" spans="2:24" ht="6" customHeight="1" thickBot="1">
      <c r="B62" s="189"/>
      <c r="C62" s="291"/>
      <c r="D62" s="290"/>
      <c r="E62" s="290"/>
      <c r="F62" s="290"/>
      <c r="G62" s="290"/>
      <c r="H62" s="290"/>
      <c r="I62" s="290"/>
      <c r="J62" s="218"/>
      <c r="K62" s="215"/>
      <c r="L62" s="218"/>
      <c r="M62" s="243"/>
      <c r="N62" s="198"/>
      <c r="O62" s="22"/>
      <c r="P62" s="56"/>
      <c r="Q62" s="22"/>
      <c r="R62" s="23"/>
      <c r="S62" s="21"/>
      <c r="T62" s="23"/>
      <c r="U62" s="14"/>
      <c r="V62" s="63"/>
      <c r="W62" s="14"/>
      <c r="X62" s="14"/>
    </row>
    <row r="63" spans="2:24" ht="15" customHeight="1" thickBot="1">
      <c r="B63" s="189"/>
      <c r="C63" s="450" t="s">
        <v>160</v>
      </c>
      <c r="D63" s="451"/>
      <c r="E63" s="451"/>
      <c r="F63" s="451"/>
      <c r="G63" s="451"/>
      <c r="H63" s="290"/>
      <c r="I63" s="290"/>
      <c r="J63" s="301"/>
      <c r="K63" s="215"/>
      <c r="L63" s="311">
        <f>$J$37</f>
        <v>0</v>
      </c>
      <c r="M63" s="243"/>
      <c r="N63" s="198"/>
      <c r="O63" s="22"/>
      <c r="P63" s="56"/>
      <c r="Q63" s="22"/>
      <c r="R63" s="23"/>
      <c r="S63" s="62"/>
      <c r="T63" s="23"/>
      <c r="U63" s="14"/>
      <c r="V63" s="63"/>
      <c r="W63" s="14"/>
      <c r="X63" s="14"/>
    </row>
    <row r="64" spans="2:24" ht="6" customHeight="1" thickBot="1">
      <c r="B64" s="189"/>
      <c r="C64" s="291"/>
      <c r="D64" s="290"/>
      <c r="E64" s="290"/>
      <c r="F64" s="290"/>
      <c r="G64" s="290"/>
      <c r="H64" s="290"/>
      <c r="I64" s="290"/>
      <c r="J64" s="300"/>
      <c r="K64" s="215"/>
      <c r="L64" s="215"/>
      <c r="M64" s="243"/>
      <c r="N64" s="198"/>
      <c r="O64" s="22"/>
      <c r="P64" s="22"/>
      <c r="Q64" s="22"/>
      <c r="R64" s="23"/>
      <c r="S64" s="23"/>
      <c r="T64" s="23"/>
      <c r="U64" s="14"/>
      <c r="V64" s="63"/>
      <c r="W64" s="14"/>
      <c r="X64" s="14"/>
    </row>
    <row r="65" spans="2:24" ht="15" customHeight="1" thickBot="1">
      <c r="B65" s="189"/>
      <c r="C65" s="450" t="s">
        <v>161</v>
      </c>
      <c r="D65" s="451"/>
      <c r="E65" s="451"/>
      <c r="F65" s="451"/>
      <c r="G65" s="451"/>
      <c r="H65" s="451"/>
      <c r="I65" s="290"/>
      <c r="J65" s="311">
        <f>$J$51+$J$53+$J$55+$J$57+$J$59</f>
        <v>0</v>
      </c>
      <c r="K65" s="299"/>
      <c r="L65" s="311">
        <f>$L$51+$L$55+$L$57+$L$59</f>
        <v>0</v>
      </c>
      <c r="M65" s="243"/>
      <c r="N65" s="198"/>
      <c r="O65" s="22"/>
      <c r="P65" s="22"/>
      <c r="Q65" s="22"/>
      <c r="R65" s="22"/>
      <c r="S65" s="22"/>
      <c r="T65" s="23"/>
      <c r="U65" s="14"/>
      <c r="V65" s="63"/>
      <c r="W65" s="14"/>
      <c r="X65" s="14"/>
    </row>
    <row r="66" spans="2:24" ht="6" customHeight="1">
      <c r="B66" s="189"/>
      <c r="C66" s="289"/>
      <c r="D66" s="290"/>
      <c r="E66" s="290"/>
      <c r="F66" s="290"/>
      <c r="G66" s="290"/>
      <c r="H66" s="290"/>
      <c r="I66" s="290"/>
      <c r="J66" s="217"/>
      <c r="K66" s="217"/>
      <c r="L66" s="217"/>
      <c r="M66" s="243"/>
      <c r="N66" s="198"/>
      <c r="O66" s="22"/>
      <c r="P66" s="22"/>
      <c r="Q66" s="22"/>
      <c r="R66" s="22"/>
      <c r="S66" s="22"/>
      <c r="T66" s="22"/>
      <c r="U66" s="14"/>
      <c r="V66" s="63"/>
      <c r="W66" s="14"/>
      <c r="X66" s="14"/>
    </row>
    <row r="67" spans="2:24" ht="21.75" customHeight="1" thickBot="1">
      <c r="B67" s="189"/>
      <c r="C67" s="181" t="s">
        <v>105</v>
      </c>
      <c r="D67" s="182"/>
      <c r="E67" s="182"/>
      <c r="F67" s="182"/>
      <c r="G67" s="182"/>
      <c r="H67" s="182"/>
      <c r="I67" s="182"/>
      <c r="J67" s="182"/>
      <c r="K67" s="182"/>
      <c r="L67" s="182"/>
      <c r="M67" s="416"/>
      <c r="N67" s="202"/>
      <c r="O67" s="5"/>
      <c r="P67" s="5"/>
      <c r="Q67" s="5"/>
      <c r="R67" s="22"/>
      <c r="S67" s="56"/>
      <c r="T67" s="22"/>
      <c r="U67" s="14"/>
      <c r="V67" s="63"/>
      <c r="W67" s="14"/>
      <c r="X67" s="14"/>
    </row>
    <row r="68" spans="2:24" ht="19.5" customHeight="1" thickBot="1">
      <c r="B68" s="189"/>
      <c r="C68" s="418" t="s">
        <v>162</v>
      </c>
      <c r="D68" s="419"/>
      <c r="E68" s="419"/>
      <c r="F68" s="419"/>
      <c r="G68" s="420"/>
      <c r="H68" s="323"/>
      <c r="I68" s="400" t="s">
        <v>163</v>
      </c>
      <c r="J68" s="401"/>
      <c r="K68" s="401"/>
      <c r="L68" s="401"/>
      <c r="M68" s="402"/>
      <c r="N68" s="203"/>
      <c r="O68" s="5"/>
      <c r="P68" s="21"/>
      <c r="Q68" s="5"/>
      <c r="R68" s="22"/>
      <c r="S68" s="56"/>
      <c r="T68" s="22"/>
      <c r="U68" s="14"/>
      <c r="V68" s="63"/>
      <c r="W68" s="14"/>
      <c r="X68" s="14"/>
    </row>
    <row r="69" spans="2:24" ht="15" customHeight="1" thickBot="1">
      <c r="B69" s="189"/>
      <c r="C69" s="421" t="s">
        <v>72</v>
      </c>
      <c r="D69" s="422"/>
      <c r="E69" s="275" t="s">
        <v>5</v>
      </c>
      <c r="F69" s="423" t="s">
        <v>6</v>
      </c>
      <c r="G69" s="424"/>
      <c r="H69" s="324"/>
      <c r="I69" s="392" t="s">
        <v>5</v>
      </c>
      <c r="J69" s="465"/>
      <c r="K69" s="392" t="s">
        <v>6</v>
      </c>
      <c r="L69" s="465"/>
      <c r="M69" s="320" t="s">
        <v>13</v>
      </c>
      <c r="N69" s="203"/>
      <c r="O69" s="22"/>
      <c r="P69" s="21"/>
      <c r="Q69" s="22"/>
      <c r="R69" s="22"/>
      <c r="S69" s="56"/>
      <c r="T69" s="22"/>
      <c r="U69" s="14"/>
      <c r="V69" s="63"/>
      <c r="W69" s="14"/>
      <c r="X69" s="14"/>
    </row>
    <row r="70" spans="2:24" ht="15" customHeight="1" thickBot="1">
      <c r="B70" s="189"/>
      <c r="C70" s="317">
        <v>1</v>
      </c>
      <c r="D70" s="316"/>
      <c r="E70" s="119">
        <f>IF($H$10="Sec. Containment","N/A",IF($H$10="Pond","N/A",IF($H$10="Landfill Cover",($J$12*$O$106)/10000,($J$12*$O$106)/10000)))</f>
        <v>0</v>
      </c>
      <c r="F70" s="425">
        <f>IF($E$70="N/A","N/A",($J$12*$L$106)/10000)</f>
        <v>0</v>
      </c>
      <c r="G70" s="426"/>
      <c r="H70" s="325"/>
      <c r="I70" s="120"/>
      <c r="J70" s="121">
        <f>IF($E$70="N/A","N/A",$J$12*$O$107/10000)</f>
        <v>0</v>
      </c>
      <c r="K70" s="120"/>
      <c r="L70" s="121">
        <f>IF($E$70="N/A","N/A",$J$12*$L$107/10000)</f>
        <v>0</v>
      </c>
      <c r="M70" s="321">
        <v>1</v>
      </c>
      <c r="N70" s="204"/>
      <c r="O70" s="22"/>
      <c r="P70" s="21"/>
      <c r="Q70" s="22"/>
      <c r="R70" s="22"/>
      <c r="S70" s="56"/>
      <c r="T70" s="22"/>
      <c r="U70" s="14"/>
      <c r="V70" s="63"/>
      <c r="W70" s="14"/>
      <c r="X70" s="14"/>
    </row>
    <row r="71" spans="2:24" ht="15" customHeight="1" thickBot="1">
      <c r="B71" s="189"/>
      <c r="C71" s="318">
        <v>2</v>
      </c>
      <c r="D71" s="319"/>
      <c r="E71" s="122">
        <f>IF($E$70="N/A","N/A",($J$12*$P$106)/10000)</f>
        <v>0</v>
      </c>
      <c r="F71" s="388">
        <f>IF($E$70="N/A","N/A",($J$12*$M$106)/10000)</f>
        <v>0</v>
      </c>
      <c r="G71" s="389"/>
      <c r="H71" s="325"/>
      <c r="I71" s="127"/>
      <c r="J71" s="126">
        <f>IF($E$70="N/A","N/A",$J$12*$P$107/10000)</f>
        <v>0</v>
      </c>
      <c r="K71" s="120"/>
      <c r="L71" s="121">
        <f>IF($E$70="N/A","N/A",$J$12*$M$107/10000)</f>
        <v>0</v>
      </c>
      <c r="M71" s="321">
        <v>2</v>
      </c>
      <c r="N71" s="204"/>
      <c r="O71" s="68"/>
      <c r="P71" s="21"/>
      <c r="Q71" s="22"/>
      <c r="R71" s="22"/>
      <c r="S71" s="56"/>
      <c r="T71" s="22"/>
      <c r="U71" s="14"/>
      <c r="V71" s="63"/>
      <c r="W71" s="14"/>
      <c r="X71" s="14"/>
    </row>
    <row r="72" spans="2:24" ht="15" customHeight="1" thickBot="1">
      <c r="B72" s="189"/>
      <c r="C72" s="318">
        <v>3</v>
      </c>
      <c r="D72" s="319"/>
      <c r="E72" s="125">
        <f>IF($E$70="N/A","N/A",($J$12*$Q$106)/10000)</f>
        <v>0</v>
      </c>
      <c r="F72" s="388">
        <f>IF($E$70="N/A","N/A",($J$12*$N$106)/10000)</f>
        <v>0</v>
      </c>
      <c r="G72" s="389"/>
      <c r="H72" s="327"/>
      <c r="I72" s="123"/>
      <c r="J72" s="124">
        <f>IF($E$70="N/A","N/A",$J$12*$Q$107/10000)</f>
        <v>0</v>
      </c>
      <c r="K72" s="123"/>
      <c r="L72" s="124">
        <f>IF($E$70="N/A","N/A",$J$12*$N$107/10000)</f>
        <v>0</v>
      </c>
      <c r="M72" s="321">
        <v>3</v>
      </c>
      <c r="N72" s="204"/>
      <c r="O72" s="25"/>
      <c r="P72" s="21"/>
      <c r="Q72" s="22"/>
      <c r="R72" s="22"/>
      <c r="S72" s="56"/>
      <c r="T72" s="22"/>
      <c r="U72" s="14"/>
      <c r="V72" s="63"/>
      <c r="W72" s="14"/>
      <c r="X72" s="14"/>
    </row>
    <row r="73" spans="2:24" ht="15" customHeight="1">
      <c r="B73" s="189"/>
      <c r="C73" s="392" t="s">
        <v>91</v>
      </c>
      <c r="D73" s="393"/>
      <c r="E73" s="454">
        <f>IF($E$70="N/A","N/A",($E$70*$G$41+$E$71*$J$41+$E$72*$L$41)*30)</f>
        <v>0</v>
      </c>
      <c r="F73" s="394">
        <f>IF($E$70="N/A","N/A",($F$70*$G$41+$F$71*$J$41+$F$72*$L$41)*30)</f>
        <v>0</v>
      </c>
      <c r="G73" s="395"/>
      <c r="H73" s="327"/>
      <c r="I73" s="394">
        <f>IF($E$70="N/A","N/A",($J$70*$G$41+$J$71*$J$41+$J$72*$L$41)*30)</f>
        <v>0</v>
      </c>
      <c r="J73" s="395"/>
      <c r="K73" s="394">
        <f>IF($E$70="N/A","N/A",($L$70*$G$41+$L$71*$J$41+$L$72*$L$41)*30)</f>
        <v>0</v>
      </c>
      <c r="L73" s="395"/>
      <c r="M73" s="322"/>
      <c r="N73" s="204"/>
      <c r="O73" s="25"/>
      <c r="P73" s="21"/>
      <c r="Q73" s="22"/>
      <c r="R73" s="22"/>
      <c r="S73" s="56"/>
      <c r="T73" s="22"/>
      <c r="U73" s="14"/>
      <c r="V73" s="63"/>
      <c r="W73" s="14"/>
      <c r="X73" s="14"/>
    </row>
    <row r="74" spans="2:24" ht="15" customHeight="1" thickBot="1">
      <c r="B74" s="189"/>
      <c r="C74" s="452" t="s">
        <v>104</v>
      </c>
      <c r="D74" s="453"/>
      <c r="E74" s="455"/>
      <c r="F74" s="396"/>
      <c r="G74" s="397"/>
      <c r="H74" s="327"/>
      <c r="I74" s="396"/>
      <c r="J74" s="397"/>
      <c r="K74" s="396"/>
      <c r="L74" s="397"/>
      <c r="M74" s="322"/>
      <c r="N74" s="204"/>
      <c r="O74" s="25"/>
      <c r="P74" s="21"/>
      <c r="Q74" s="22"/>
      <c r="R74" s="22"/>
      <c r="S74" s="56"/>
      <c r="T74" s="22"/>
      <c r="U74" s="14"/>
      <c r="V74" s="63"/>
      <c r="W74" s="14"/>
      <c r="X74" s="14"/>
    </row>
    <row r="75" spans="2:24" ht="21.75" customHeight="1" thickBot="1">
      <c r="B75" s="189"/>
      <c r="C75" s="458" t="s">
        <v>93</v>
      </c>
      <c r="D75" s="459"/>
      <c r="E75" s="459"/>
      <c r="F75" s="459"/>
      <c r="G75" s="459"/>
      <c r="H75" s="459"/>
      <c r="I75" s="459"/>
      <c r="J75" s="459"/>
      <c r="K75" s="459"/>
      <c r="L75" s="459"/>
      <c r="M75" s="460"/>
      <c r="N75" s="204"/>
      <c r="O75" s="25"/>
      <c r="P75" s="21"/>
      <c r="Q75" s="22"/>
      <c r="R75" s="22"/>
      <c r="S75" s="22"/>
      <c r="T75" s="22"/>
      <c r="U75" s="53"/>
      <c r="V75" s="54"/>
      <c r="W75" s="53"/>
      <c r="X75" s="14"/>
    </row>
    <row r="76" spans="2:24" ht="15" customHeight="1" thickBot="1">
      <c r="B76" s="189"/>
      <c r="C76" s="410" t="s">
        <v>72</v>
      </c>
      <c r="D76" s="411"/>
      <c r="E76" s="329" t="s">
        <v>5</v>
      </c>
      <c r="F76" s="462" t="s">
        <v>6</v>
      </c>
      <c r="G76" s="463"/>
      <c r="H76" s="332"/>
      <c r="I76" s="452" t="s">
        <v>5</v>
      </c>
      <c r="J76" s="461"/>
      <c r="K76" s="452" t="s">
        <v>6</v>
      </c>
      <c r="L76" s="461"/>
      <c r="M76" s="330" t="s">
        <v>13</v>
      </c>
      <c r="N76" s="204"/>
      <c r="O76" s="25"/>
      <c r="P76" s="21"/>
      <c r="Q76" s="22"/>
      <c r="R76" s="22"/>
      <c r="S76" s="22"/>
      <c r="T76" s="22"/>
      <c r="U76" s="53"/>
      <c r="V76" s="54"/>
      <c r="W76" s="53"/>
      <c r="X76" s="14"/>
    </row>
    <row r="77" spans="2:24" ht="15" customHeight="1" thickBot="1">
      <c r="B77" s="189"/>
      <c r="C77" s="317">
        <v>1</v>
      </c>
      <c r="D77" s="316"/>
      <c r="E77" s="166" t="e">
        <f>IF($E$70="N/A","N/A",((1-((1+($J$45/100))^(-$G$41/12)))/($J$45/100))*E70*J43)</f>
        <v>#DIV/0!</v>
      </c>
      <c r="F77" s="456" t="e">
        <f>IF($E$70="N/A","N/A",(1-(1+($J$45/100))^(-$G$41/12))/($J$45/100)*$F$70*$J$43)</f>
        <v>#DIV/0!</v>
      </c>
      <c r="G77" s="457"/>
      <c r="H77" s="333"/>
      <c r="I77" s="167"/>
      <c r="J77" s="166" t="e">
        <f>IF($E$70="N/A","N/A",((1-(1+($J$45/100))^(-$G$41/12))/($J$45/100))*$J$43*$J$70)</f>
        <v>#DIV/0!</v>
      </c>
      <c r="K77" s="167"/>
      <c r="L77" s="166" t="e">
        <f>IF($E$70="N/A","N/A",(1-(1+($J$45/100))^(-$G$41/12))/($J$45/100)*L70*$J$43)</f>
        <v>#DIV/0!</v>
      </c>
      <c r="M77" s="321">
        <v>1</v>
      </c>
      <c r="N77" s="204"/>
      <c r="O77" s="22"/>
      <c r="P77" s="22"/>
      <c r="Q77" s="22"/>
      <c r="R77" s="23"/>
      <c r="S77" s="23"/>
      <c r="T77" s="22"/>
      <c r="U77" s="53"/>
      <c r="V77" s="54"/>
      <c r="W77" s="53"/>
      <c r="X77" s="14"/>
    </row>
    <row r="78" spans="1:24" ht="15" customHeight="1" thickBot="1">
      <c r="A78" s="14"/>
      <c r="B78" s="189"/>
      <c r="C78" s="318">
        <v>2</v>
      </c>
      <c r="D78" s="319"/>
      <c r="E78" s="168" t="e">
        <f>IF($E$70="N/A","N/A",((1-(1+($J$45/100))^(-$L$41/12))/($J$45/100)*E71*$J$43)*(1/(1+($J$45/100))^(($G$41+$L$41)/12)))</f>
        <v>#DIV/0!</v>
      </c>
      <c r="F78" s="407" t="e">
        <f>IF($E$70="N/A","N/A",((1-(1+($J$45/100))^(-$J$41/12))/($J$45/100)*F71*$J$43)*(1/((1+($J$45/100))^($G$41/12))))</f>
        <v>#DIV/0!</v>
      </c>
      <c r="G78" s="408"/>
      <c r="H78" s="333"/>
      <c r="I78" s="169"/>
      <c r="J78" s="166" t="e">
        <f>IF($E$70="N/A","N/A",((1-(1+($J$45/100))^(-$L$41/12))/($J$45/100)*J71*$J$43)*(1/(1+($J$45/100))^(($G$41+$L$41)/12)))</f>
        <v>#DIV/0!</v>
      </c>
      <c r="K78" s="167"/>
      <c r="L78" s="166" t="e">
        <f>IF($E$70="N/A","N/A",((1-(1+($J$45/100))^(-$L$41/12))/($J$45/100)*L71*$J$43)*(1/(1+($J$45/100))^(($G$41+$L$41)/12)))</f>
        <v>#DIV/0!</v>
      </c>
      <c r="M78" s="321">
        <v>2</v>
      </c>
      <c r="N78" s="204"/>
      <c r="O78" s="403"/>
      <c r="P78" s="403"/>
      <c r="Q78" s="22"/>
      <c r="R78" s="22"/>
      <c r="S78" s="22"/>
      <c r="T78" s="22"/>
      <c r="U78" s="22"/>
      <c r="V78" s="22"/>
      <c r="W78" s="53"/>
      <c r="X78" s="14"/>
    </row>
    <row r="79" spans="1:24" ht="15" customHeight="1" thickBot="1">
      <c r="A79" s="14"/>
      <c r="B79" s="189"/>
      <c r="C79" s="328">
        <v>3</v>
      </c>
      <c r="D79" s="316"/>
      <c r="E79" s="168" t="e">
        <f>IF($E$70="N/A","N/A",((1-(1+($J$45/100))^(-$L$41/12))/($J$45/100)*E72*$J$43)*(1/(1+($J$45/100))^(($G$41+$J$41)/12)))</f>
        <v>#DIV/0!</v>
      </c>
      <c r="F79" s="407" t="e">
        <f>IF($E$70="N/A","N/A",((1-(1+($J$45/100))^(-$L$41/12))/($J$45/100)*F72*$J$43)*(1/(1+($J$45/100))^(($G$41+$J$41)/12)))</f>
        <v>#DIV/0!</v>
      </c>
      <c r="G79" s="408"/>
      <c r="H79" s="333"/>
      <c r="I79" s="167"/>
      <c r="J79" s="166" t="e">
        <f>IF($E$70="N/A","N/A",((1-(1+($J$45/100))^(-$L$41/12))/($J$45/100)*J72*$J$43)*(1/(1+($J$45/100))^(($G$41+$J$41)/12)))</f>
        <v>#DIV/0!</v>
      </c>
      <c r="K79" s="167"/>
      <c r="L79" s="166" t="e">
        <f>IF($E$70="N/A","N/A",((1-(1+($J$45/100))^(-$L$41/12))/($J$45/100)*L72*$J$43)*(1/(1+($J$45/100))^(($G$41+$J$41)/12)))</f>
        <v>#DIV/0!</v>
      </c>
      <c r="M79" s="321">
        <v>3</v>
      </c>
      <c r="N79" s="204"/>
      <c r="O79" s="22"/>
      <c r="P79" s="22"/>
      <c r="Q79" s="22"/>
      <c r="R79" s="22"/>
      <c r="S79" s="22"/>
      <c r="T79" s="23"/>
      <c r="U79" s="24"/>
      <c r="V79" s="54"/>
      <c r="W79" s="53"/>
      <c r="X79" s="14"/>
    </row>
    <row r="80" spans="1:24" ht="15" customHeight="1">
      <c r="A80" s="14"/>
      <c r="B80" s="189"/>
      <c r="C80" s="414" t="s">
        <v>97</v>
      </c>
      <c r="D80" s="415"/>
      <c r="E80" s="412" t="e">
        <f>IF($E$70="N/A","N/A",SUM(E77:E79))</f>
        <v>#DIV/0!</v>
      </c>
      <c r="F80" s="383" t="e">
        <f>IF($E$70="N/A","N/A",SUM(F77:G79))</f>
        <v>#DIV/0!</v>
      </c>
      <c r="G80" s="378"/>
      <c r="H80" s="333"/>
      <c r="I80" s="383" t="e">
        <f>IF($E$70="N/A","N/A",SUM(J77:J79))</f>
        <v>#DIV/0!</v>
      </c>
      <c r="J80" s="378"/>
      <c r="K80" s="383" t="e">
        <f>IF($E$70="N/A","N/A",SUM(L77:L79))</f>
        <v>#DIV/0!</v>
      </c>
      <c r="L80" s="466"/>
      <c r="M80" s="331" t="s">
        <v>95</v>
      </c>
      <c r="N80" s="204"/>
      <c r="O80" s="22"/>
      <c r="P80" s="22"/>
      <c r="Q80" s="22"/>
      <c r="R80" s="22"/>
      <c r="S80" s="22"/>
      <c r="T80" s="23"/>
      <c r="U80" s="24"/>
      <c r="V80" s="54"/>
      <c r="W80" s="53"/>
      <c r="X80" s="14"/>
    </row>
    <row r="81" spans="1:24" ht="15" customHeight="1" thickBot="1">
      <c r="A81" s="14"/>
      <c r="B81" s="189"/>
      <c r="C81" s="410" t="s">
        <v>92</v>
      </c>
      <c r="D81" s="411"/>
      <c r="E81" s="413"/>
      <c r="F81" s="379"/>
      <c r="G81" s="326"/>
      <c r="H81" s="333"/>
      <c r="I81" s="379"/>
      <c r="J81" s="326"/>
      <c r="K81" s="467"/>
      <c r="L81" s="468"/>
      <c r="M81" s="329" t="s">
        <v>96</v>
      </c>
      <c r="N81" s="204"/>
      <c r="O81" s="22"/>
      <c r="P81" s="22"/>
      <c r="Q81" s="22"/>
      <c r="R81" s="22"/>
      <c r="S81" s="22"/>
      <c r="T81" s="23"/>
      <c r="U81" s="24"/>
      <c r="V81" s="54"/>
      <c r="W81" s="53"/>
      <c r="X81" s="14"/>
    </row>
    <row r="82" spans="1:24" ht="15" customHeight="1">
      <c r="A82" s="14"/>
      <c r="B82" s="189"/>
      <c r="C82" s="334" t="s">
        <v>81</v>
      </c>
      <c r="D82" s="244"/>
      <c r="E82" s="335"/>
      <c r="F82" s="335"/>
      <c r="G82" s="335"/>
      <c r="H82" s="336"/>
      <c r="I82" s="335"/>
      <c r="J82" s="335"/>
      <c r="K82" s="335"/>
      <c r="L82" s="335"/>
      <c r="M82" s="337"/>
      <c r="N82" s="204"/>
      <c r="O82" s="21"/>
      <c r="P82" s="21"/>
      <c r="Q82" s="56"/>
      <c r="R82" s="21"/>
      <c r="S82" s="21"/>
      <c r="T82" s="21"/>
      <c r="U82" s="24"/>
      <c r="V82" s="54"/>
      <c r="W82" s="53"/>
      <c r="X82" s="14"/>
    </row>
    <row r="83" spans="1:24" ht="15" customHeight="1">
      <c r="A83" s="14"/>
      <c r="B83" s="189"/>
      <c r="C83" s="338" t="s">
        <v>74</v>
      </c>
      <c r="D83" s="244"/>
      <c r="E83" s="335"/>
      <c r="F83" s="335"/>
      <c r="G83" s="335"/>
      <c r="H83" s="336"/>
      <c r="I83" s="335"/>
      <c r="J83" s="335"/>
      <c r="K83" s="335"/>
      <c r="L83" s="335"/>
      <c r="M83" s="337"/>
      <c r="N83" s="191"/>
      <c r="O83" s="21"/>
      <c r="P83" s="21"/>
      <c r="Q83" s="56"/>
      <c r="R83" s="21"/>
      <c r="S83" s="21"/>
      <c r="T83" s="21"/>
      <c r="U83" s="24"/>
      <c r="V83" s="54"/>
      <c r="W83" s="53"/>
      <c r="X83" s="14"/>
    </row>
    <row r="84" spans="1:24" ht="15" customHeight="1" thickBot="1">
      <c r="A84" s="14"/>
      <c r="B84" s="189"/>
      <c r="C84" s="339" t="s">
        <v>73</v>
      </c>
      <c r="D84" s="340"/>
      <c r="E84" s="340"/>
      <c r="F84" s="340"/>
      <c r="G84" s="340"/>
      <c r="H84" s="341"/>
      <c r="I84" s="340"/>
      <c r="J84" s="342"/>
      <c r="K84" s="340"/>
      <c r="L84" s="340"/>
      <c r="M84" s="343"/>
      <c r="N84" s="205"/>
      <c r="O84" s="69"/>
      <c r="P84" s="69"/>
      <c r="Q84" s="69"/>
      <c r="R84" s="69"/>
      <c r="S84" s="69"/>
      <c r="T84" s="69"/>
      <c r="U84" s="70"/>
      <c r="V84" s="54"/>
      <c r="W84" s="53"/>
      <c r="X84" s="14"/>
    </row>
    <row r="85" spans="1:24" ht="15" customHeight="1" thickBot="1">
      <c r="A85" s="14"/>
      <c r="B85" s="190"/>
      <c r="C85" s="207"/>
      <c r="D85" s="207"/>
      <c r="E85" s="207"/>
      <c r="F85" s="207"/>
      <c r="G85" s="207"/>
      <c r="H85" s="207"/>
      <c r="I85" s="207"/>
      <c r="J85" s="208"/>
      <c r="K85" s="208"/>
      <c r="L85" s="208"/>
      <c r="M85" s="207"/>
      <c r="N85" s="206"/>
      <c r="O85" s="22"/>
      <c r="P85" s="22"/>
      <c r="Q85" s="22"/>
      <c r="R85" s="22"/>
      <c r="S85" s="22"/>
      <c r="T85" s="22"/>
      <c r="U85" s="53"/>
      <c r="V85" s="53"/>
      <c r="W85" s="53"/>
      <c r="X85" s="14"/>
    </row>
    <row r="86" spans="1:24" ht="15" customHeight="1">
      <c r="A86" s="133"/>
      <c r="B86" s="134"/>
      <c r="C86" s="135"/>
      <c r="D86" s="136"/>
      <c r="E86" s="136"/>
      <c r="F86" s="136"/>
      <c r="G86" s="136"/>
      <c r="H86" s="1"/>
      <c r="I86" s="1"/>
      <c r="J86" s="2"/>
      <c r="K86" s="2"/>
      <c r="L86" s="3"/>
      <c r="M86" s="52"/>
      <c r="N86" s="52"/>
      <c r="O86" s="22"/>
      <c r="P86" s="22"/>
      <c r="Q86" s="22"/>
      <c r="R86" s="22"/>
      <c r="S86" s="22"/>
      <c r="T86" s="22"/>
      <c r="U86" s="14"/>
      <c r="V86" s="14"/>
      <c r="W86" s="14"/>
      <c r="X86" s="14"/>
    </row>
    <row r="87" spans="1:21" ht="15" customHeight="1" hidden="1" thickBot="1">
      <c r="A87" s="137"/>
      <c r="B87" s="138"/>
      <c r="C87" s="139"/>
      <c r="D87" s="140"/>
      <c r="E87" s="140"/>
      <c r="F87" s="141"/>
      <c r="G87" s="141"/>
      <c r="H87" s="409"/>
      <c r="I87" s="409"/>
      <c r="J87" s="77"/>
      <c r="K87" s="77"/>
      <c r="L87" s="83"/>
      <c r="M87" s="76"/>
      <c r="N87" s="83"/>
      <c r="O87" s="77"/>
      <c r="P87" s="84"/>
      <c r="Q87" s="77"/>
      <c r="R87" s="77"/>
      <c r="S87" s="77"/>
      <c r="T87" s="77"/>
      <c r="U87" s="83"/>
    </row>
    <row r="88" spans="1:21" ht="15" customHeight="1" hidden="1" thickBot="1">
      <c r="A88" s="137"/>
      <c r="B88" s="138"/>
      <c r="C88" s="139"/>
      <c r="D88" s="140"/>
      <c r="E88" s="283" t="s">
        <v>78</v>
      </c>
      <c r="F88" s="284"/>
      <c r="G88" s="142"/>
      <c r="H88" s="469"/>
      <c r="I88" s="469"/>
      <c r="J88" s="78"/>
      <c r="K88" s="79"/>
      <c r="L88" s="83"/>
      <c r="M88" s="83"/>
      <c r="N88" s="83"/>
      <c r="O88" s="77"/>
      <c r="P88" s="84"/>
      <c r="Q88" s="77"/>
      <c r="R88" s="82"/>
      <c r="S88" s="77"/>
      <c r="T88" s="77"/>
      <c r="U88" s="83"/>
    </row>
    <row r="89" spans="1:21" ht="15" customHeight="1" hidden="1" thickBot="1">
      <c r="A89" s="137"/>
      <c r="B89" s="138"/>
      <c r="C89" s="139"/>
      <c r="D89" s="140"/>
      <c r="E89" s="281" t="s">
        <v>130</v>
      </c>
      <c r="F89" s="282"/>
      <c r="G89" s="143"/>
      <c r="H89" s="470"/>
      <c r="I89" s="470"/>
      <c r="J89" s="80"/>
      <c r="K89" s="80"/>
      <c r="L89" s="83"/>
      <c r="M89" s="285" t="s">
        <v>113</v>
      </c>
      <c r="N89" s="254"/>
      <c r="O89" s="254"/>
      <c r="P89" s="254"/>
      <c r="Q89" s="254"/>
      <c r="R89" s="255"/>
      <c r="S89" s="464"/>
      <c r="T89" s="464"/>
      <c r="U89" s="464"/>
    </row>
    <row r="90" spans="1:21" ht="15" customHeight="1" hidden="1" thickBot="1">
      <c r="A90" s="144"/>
      <c r="B90" s="138"/>
      <c r="C90" s="139"/>
      <c r="D90" s="140"/>
      <c r="E90" s="281" t="s">
        <v>79</v>
      </c>
      <c r="F90" s="282"/>
      <c r="G90" s="143"/>
      <c r="H90" s="470"/>
      <c r="I90" s="470"/>
      <c r="J90" s="163" t="s">
        <v>108</v>
      </c>
      <c r="K90" s="80"/>
      <c r="L90" s="94" t="s">
        <v>17</v>
      </c>
      <c r="M90" s="159">
        <v>1</v>
      </c>
      <c r="N90" s="160">
        <v>2</v>
      </c>
      <c r="O90" s="159">
        <v>3</v>
      </c>
      <c r="P90" s="161">
        <v>4</v>
      </c>
      <c r="Q90" s="161">
        <v>5</v>
      </c>
      <c r="R90" s="162">
        <v>6</v>
      </c>
      <c r="S90" s="81"/>
      <c r="T90" s="117"/>
      <c r="U90" s="81"/>
    </row>
    <row r="91" spans="1:21" ht="15" customHeight="1" hidden="1" thickBot="1">
      <c r="A91" s="144"/>
      <c r="B91" s="138"/>
      <c r="C91" s="139"/>
      <c r="D91" s="140"/>
      <c r="E91" s="281" t="s">
        <v>94</v>
      </c>
      <c r="F91" s="282"/>
      <c r="G91" s="143"/>
      <c r="H91" s="470"/>
      <c r="I91" s="470"/>
      <c r="J91" s="170" t="s">
        <v>132</v>
      </c>
      <c r="K91" s="75"/>
      <c r="L91" s="95" t="s">
        <v>19</v>
      </c>
      <c r="M91" s="110" t="e">
        <f aca="true" t="shared" si="0" ref="M91:M96">($J91+0.015*M$90)*10.7584</f>
        <v>#VALUE!</v>
      </c>
      <c r="N91" s="109" t="e">
        <f aca="true" t="shared" si="1" ref="N91:R96">($J91+0.015*N$90)*10.7584</f>
        <v>#VALUE!</v>
      </c>
      <c r="O91" s="109" t="e">
        <f t="shared" si="1"/>
        <v>#VALUE!</v>
      </c>
      <c r="P91" s="112" t="e">
        <f t="shared" si="1"/>
        <v>#VALUE!</v>
      </c>
      <c r="Q91" s="112" t="e">
        <f t="shared" si="1"/>
        <v>#VALUE!</v>
      </c>
      <c r="R91" s="113" t="e">
        <f t="shared" si="1"/>
        <v>#VALUE!</v>
      </c>
      <c r="S91" s="81"/>
      <c r="T91" s="117"/>
      <c r="U91" s="81"/>
    </row>
    <row r="92" spans="1:21" ht="15" customHeight="1" hidden="1" thickBot="1">
      <c r="A92" s="144"/>
      <c r="B92" s="145"/>
      <c r="C92" s="146"/>
      <c r="D92" s="140"/>
      <c r="E92" s="281" t="s">
        <v>80</v>
      </c>
      <c r="F92" s="282"/>
      <c r="G92" s="143"/>
      <c r="H92" s="470"/>
      <c r="I92" s="470"/>
      <c r="J92" s="170" t="s">
        <v>132</v>
      </c>
      <c r="K92" s="75"/>
      <c r="L92" s="94" t="s">
        <v>18</v>
      </c>
      <c r="M92" s="110" t="e">
        <f t="shared" si="0"/>
        <v>#VALUE!</v>
      </c>
      <c r="N92" s="110" t="e">
        <f t="shared" si="1"/>
        <v>#VALUE!</v>
      </c>
      <c r="O92" s="110" t="e">
        <f t="shared" si="1"/>
        <v>#VALUE!</v>
      </c>
      <c r="P92" s="110" t="e">
        <f t="shared" si="1"/>
        <v>#VALUE!</v>
      </c>
      <c r="Q92" s="114" t="e">
        <f t="shared" si="1"/>
        <v>#VALUE!</v>
      </c>
      <c r="R92" s="115" t="e">
        <f t="shared" si="1"/>
        <v>#VALUE!</v>
      </c>
      <c r="S92" s="81"/>
      <c r="T92" s="117"/>
      <c r="U92" s="81"/>
    </row>
    <row r="93" spans="1:21" ht="15" customHeight="1" hidden="1" thickBot="1">
      <c r="A93" s="144"/>
      <c r="B93" s="145"/>
      <c r="C93" s="140"/>
      <c r="D93" s="140"/>
      <c r="E93" s="140"/>
      <c r="F93" s="143"/>
      <c r="G93" s="143"/>
      <c r="H93" s="470"/>
      <c r="I93" s="470"/>
      <c r="J93" s="170" t="s">
        <v>132</v>
      </c>
      <c r="K93" s="75"/>
      <c r="L93" s="95" t="s">
        <v>20</v>
      </c>
      <c r="M93" s="109" t="e">
        <f t="shared" si="0"/>
        <v>#VALUE!</v>
      </c>
      <c r="N93" s="109" t="e">
        <f t="shared" si="1"/>
        <v>#VALUE!</v>
      </c>
      <c r="O93" s="109" t="e">
        <f t="shared" si="1"/>
        <v>#VALUE!</v>
      </c>
      <c r="P93" s="109" t="e">
        <f t="shared" si="1"/>
        <v>#VALUE!</v>
      </c>
      <c r="Q93" s="109" t="e">
        <f t="shared" si="1"/>
        <v>#VALUE!</v>
      </c>
      <c r="R93" s="113" t="e">
        <f t="shared" si="1"/>
        <v>#VALUE!</v>
      </c>
      <c r="S93" s="81"/>
      <c r="T93" s="117"/>
      <c r="U93" s="81"/>
    </row>
    <row r="94" spans="1:21" ht="15" customHeight="1" hidden="1" thickBot="1">
      <c r="A94" s="83"/>
      <c r="B94" s="164"/>
      <c r="C94" s="165"/>
      <c r="D94" s="175" t="s">
        <v>110</v>
      </c>
      <c r="E94" s="176"/>
      <c r="F94" s="183" t="s">
        <v>88</v>
      </c>
      <c r="G94" s="174"/>
      <c r="H94" s="76"/>
      <c r="I94" s="76"/>
      <c r="J94" s="170" t="s">
        <v>132</v>
      </c>
      <c r="K94" s="76"/>
      <c r="L94" s="94" t="s">
        <v>21</v>
      </c>
      <c r="M94" s="110" t="e">
        <f t="shared" si="0"/>
        <v>#VALUE!</v>
      </c>
      <c r="N94" s="110" t="e">
        <f t="shared" si="1"/>
        <v>#VALUE!</v>
      </c>
      <c r="O94" s="110" t="e">
        <f t="shared" si="1"/>
        <v>#VALUE!</v>
      </c>
      <c r="P94" s="110" t="e">
        <f t="shared" si="1"/>
        <v>#VALUE!</v>
      </c>
      <c r="Q94" s="110" t="e">
        <f t="shared" si="1"/>
        <v>#VALUE!</v>
      </c>
      <c r="R94" s="115" t="e">
        <f t="shared" si="1"/>
        <v>#VALUE!</v>
      </c>
      <c r="S94" s="81"/>
      <c r="T94" s="117"/>
      <c r="U94" s="81"/>
    </row>
    <row r="95" spans="1:21" ht="15" customHeight="1" hidden="1" thickBot="1">
      <c r="A95" s="144"/>
      <c r="B95" s="144"/>
      <c r="C95" s="147"/>
      <c r="D95" s="154">
        <v>0.15</v>
      </c>
      <c r="E95" s="144"/>
      <c r="F95" s="148">
        <v>1.1</v>
      </c>
      <c r="G95" s="144"/>
      <c r="H95" s="76"/>
      <c r="I95" s="76"/>
      <c r="J95" s="170" t="s">
        <v>132</v>
      </c>
      <c r="K95" s="76"/>
      <c r="L95" s="95" t="s">
        <v>22</v>
      </c>
      <c r="M95" s="109" t="e">
        <f t="shared" si="0"/>
        <v>#VALUE!</v>
      </c>
      <c r="N95" s="109" t="e">
        <f t="shared" si="1"/>
        <v>#VALUE!</v>
      </c>
      <c r="O95" s="109" t="e">
        <f t="shared" si="1"/>
        <v>#VALUE!</v>
      </c>
      <c r="P95" s="109" t="e">
        <f t="shared" si="1"/>
        <v>#VALUE!</v>
      </c>
      <c r="Q95" s="109" t="e">
        <f t="shared" si="1"/>
        <v>#VALUE!</v>
      </c>
      <c r="R95" s="113" t="e">
        <f t="shared" si="1"/>
        <v>#VALUE!</v>
      </c>
      <c r="S95" s="81"/>
      <c r="T95" s="117"/>
      <c r="U95" s="81"/>
    </row>
    <row r="96" spans="1:21" ht="15" customHeight="1" hidden="1" thickBot="1">
      <c r="A96" s="144"/>
      <c r="B96" s="144"/>
      <c r="C96" s="147"/>
      <c r="D96" s="154">
        <v>0.23</v>
      </c>
      <c r="E96" s="144"/>
      <c r="F96" s="148">
        <v>1.12</v>
      </c>
      <c r="G96" s="144"/>
      <c r="H96" s="76"/>
      <c r="I96" s="76"/>
      <c r="J96" s="170" t="s">
        <v>132</v>
      </c>
      <c r="K96" s="76"/>
      <c r="L96" s="96" t="s">
        <v>23</v>
      </c>
      <c r="M96" s="110" t="e">
        <f t="shared" si="0"/>
        <v>#VALUE!</v>
      </c>
      <c r="N96" s="110" t="e">
        <f t="shared" si="1"/>
        <v>#VALUE!</v>
      </c>
      <c r="O96" s="110" t="e">
        <f t="shared" si="1"/>
        <v>#VALUE!</v>
      </c>
      <c r="P96" s="110" t="e">
        <f t="shared" si="1"/>
        <v>#VALUE!</v>
      </c>
      <c r="Q96" s="110" t="e">
        <f t="shared" si="1"/>
        <v>#VALUE!</v>
      </c>
      <c r="R96" s="115" t="e">
        <f t="shared" si="1"/>
        <v>#VALUE!</v>
      </c>
      <c r="S96" s="81"/>
      <c r="T96" s="117"/>
      <c r="U96" s="81"/>
    </row>
    <row r="97" spans="1:21" ht="15" customHeight="1" hidden="1" thickBot="1">
      <c r="A97" s="144"/>
      <c r="B97" s="144"/>
      <c r="C97" s="147"/>
      <c r="D97" s="154">
        <v>0.3</v>
      </c>
      <c r="E97" s="144"/>
      <c r="F97" s="149">
        <v>1.14</v>
      </c>
      <c r="G97" s="144"/>
      <c r="H97" s="76"/>
      <c r="I97" s="76"/>
      <c r="J97" s="83"/>
      <c r="K97" s="76"/>
      <c r="L97" s="116">
        <f>MAX($M$97:$M$102)</f>
        <v>0</v>
      </c>
      <c r="M97" s="111" t="b">
        <f>IF($J$28="Bentomat ST",IF(#REF!=1,$M$91,IF(#REF!=2,$N$91,IF(#REF!=3,$O$91,IF(#REF!=4,$P$91,IF(#REF!=5,$Q$91,IF(#REF!=6,$R$91)))))))</f>
        <v>0</v>
      </c>
      <c r="N97" s="86"/>
      <c r="O97" s="77"/>
      <c r="P97" s="87"/>
      <c r="Q97" s="77"/>
      <c r="R97" s="77"/>
      <c r="S97" s="82"/>
      <c r="T97" s="82"/>
      <c r="U97" s="83"/>
    </row>
    <row r="98" spans="1:21" ht="15" customHeight="1" hidden="1" thickBot="1">
      <c r="A98" s="144"/>
      <c r="B98" s="144"/>
      <c r="C98" s="147"/>
      <c r="D98" s="154">
        <v>0.38</v>
      </c>
      <c r="E98" s="144"/>
      <c r="F98" s="148">
        <v>1.16</v>
      </c>
      <c r="G98" s="144"/>
      <c r="H98" s="83"/>
      <c r="I98" s="76"/>
      <c r="J98" s="83"/>
      <c r="K98" s="76"/>
      <c r="L98" s="88"/>
      <c r="M98" s="111" t="b">
        <f>IF($J$28="Bentomat DN",IF(#REF!=1,$M$92,IF(#REF!=2,$N$92,IF(#REF!=3,$O$92,IF(#REF!=4,$P$92,IF(#REF!=5,$Q$92,IF(#REF!=6,$R$92)))))))</f>
        <v>0</v>
      </c>
      <c r="N98" s="86"/>
      <c r="O98" s="77"/>
      <c r="P98" s="89"/>
      <c r="Q98" s="77"/>
      <c r="R98" s="77"/>
      <c r="S98" s="82"/>
      <c r="T98" s="82"/>
      <c r="U98" s="83"/>
    </row>
    <row r="99" spans="1:21" ht="15" customHeight="1" hidden="1" thickBot="1">
      <c r="A99" s="144"/>
      <c r="B99" s="144"/>
      <c r="C99" s="147"/>
      <c r="D99" s="154">
        <v>0.46</v>
      </c>
      <c r="E99" s="144"/>
      <c r="F99" s="149">
        <v>1.18</v>
      </c>
      <c r="G99" s="144"/>
      <c r="H99" s="83"/>
      <c r="I99" s="83"/>
      <c r="J99" s="83"/>
      <c r="K99" s="83"/>
      <c r="L99" s="88"/>
      <c r="M99" s="111" t="b">
        <f>IF($J$28="Bentomat CL",IF(#REF!=1,$M$93,IF(#REF!=2,$N$93,IF(#REF!=3,$O$93,IF(#REF!=4,$P$93,IF(#REF!=5,$Q$93,IF(#REF!=6,$R$93)))))))</f>
        <v>0</v>
      </c>
      <c r="N99" s="86"/>
      <c r="O99" s="77"/>
      <c r="P99" s="89"/>
      <c r="Q99" s="77"/>
      <c r="R99" s="77"/>
      <c r="S99" s="82"/>
      <c r="T99" s="82"/>
      <c r="U99" s="83"/>
    </row>
    <row r="100" spans="1:21" ht="15" customHeight="1" hidden="1" thickBot="1">
      <c r="A100" s="144"/>
      <c r="B100" s="144"/>
      <c r="C100" s="147"/>
      <c r="D100" s="155">
        <v>0.6</v>
      </c>
      <c r="E100" s="144"/>
      <c r="F100" s="148">
        <v>1.2</v>
      </c>
      <c r="G100" s="144"/>
      <c r="H100" s="83"/>
      <c r="I100" s="83"/>
      <c r="J100" s="83"/>
      <c r="K100" s="83"/>
      <c r="L100" s="88"/>
      <c r="M100" s="111" t="b">
        <f>IF($J$28="Bentomat CLT",IF(#REF!=1,$M$94,IF(#REF!=2,$N$94,IF(#REF!=3,$O$94,IF(#REF!=4,$P$94,IF(#REF!=5,$Q$94,IF(#REF!=6,$R$94)))))))</f>
        <v>0</v>
      </c>
      <c r="N100" s="86"/>
      <c r="O100" s="77"/>
      <c r="P100" s="89"/>
      <c r="Q100" s="77"/>
      <c r="R100" s="77"/>
      <c r="S100" s="77"/>
      <c r="T100" s="82"/>
      <c r="U100" s="83"/>
    </row>
    <row r="101" spans="1:21" ht="15" customHeight="1" hidden="1" thickBot="1">
      <c r="A101" s="144"/>
      <c r="B101" s="144"/>
      <c r="C101" s="147"/>
      <c r="D101" s="154">
        <v>0.76</v>
      </c>
      <c r="E101" s="144"/>
      <c r="F101" s="148">
        <v>1.22</v>
      </c>
      <c r="G101" s="144"/>
      <c r="H101" s="83"/>
      <c r="I101" s="83"/>
      <c r="J101" s="83"/>
      <c r="K101" s="83"/>
      <c r="L101" s="88"/>
      <c r="M101" s="111" t="b">
        <f>IF($J$28="Claymax 200R",IF(#REF!=1,$M$95,IF(#REF!=2,$N$95,IF(#REF!=3,$O$95,IF(#REF!=4,$P$95,IF(#REF!=5,$Q$95,IF(#REF!=6,$R$95)))))))</f>
        <v>0</v>
      </c>
      <c r="N101" s="86"/>
      <c r="O101" s="77"/>
      <c r="P101" s="86"/>
      <c r="Q101" s="77"/>
      <c r="R101" s="86"/>
      <c r="S101" s="89"/>
      <c r="T101" s="77"/>
      <c r="U101" s="83"/>
    </row>
    <row r="102" spans="1:21" ht="15" customHeight="1" hidden="1" thickBot="1">
      <c r="A102" s="144"/>
      <c r="B102" s="144"/>
      <c r="C102" s="147"/>
      <c r="D102" s="154">
        <v>0.91</v>
      </c>
      <c r="E102" s="144"/>
      <c r="F102" s="149">
        <v>1.24</v>
      </c>
      <c r="G102" s="144"/>
      <c r="H102" s="83"/>
      <c r="I102" s="83"/>
      <c r="J102" s="83"/>
      <c r="K102" s="83"/>
      <c r="L102" s="88"/>
      <c r="M102" s="111" t="b">
        <f>IF($J$28="Claymax 600CL",IF(#REF!=1,$M$96,IF(#REF!=2,$N$96,IF(#REF!=3,$O$96,IF(#REF!=4,$P$96,IF(#REF!=5,$Q$96,IF(#REF!=6,$R$96)))))))</f>
        <v>0</v>
      </c>
      <c r="N102" s="86"/>
      <c r="O102" s="86"/>
      <c r="P102" s="86"/>
      <c r="Q102" s="86"/>
      <c r="R102" s="86"/>
      <c r="S102" s="89"/>
      <c r="T102" s="82"/>
      <c r="U102" s="83"/>
    </row>
    <row r="103" spans="1:21" ht="15" customHeight="1" hidden="1" thickBot="1">
      <c r="A103" s="144"/>
      <c r="B103" s="144"/>
      <c r="C103" s="147"/>
      <c r="D103" s="154">
        <v>1.07</v>
      </c>
      <c r="E103" s="144"/>
      <c r="F103" s="148">
        <v>1.26</v>
      </c>
      <c r="G103" s="144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9"/>
      <c r="T103" s="82"/>
      <c r="U103" s="83"/>
    </row>
    <row r="104" spans="1:21" ht="15" customHeight="1" hidden="1" thickBot="1">
      <c r="A104" s="144"/>
      <c r="B104" s="144"/>
      <c r="C104" s="147"/>
      <c r="D104" s="154">
        <v>1.22</v>
      </c>
      <c r="E104" s="144"/>
      <c r="F104" s="149">
        <v>1.28</v>
      </c>
      <c r="G104" s="144"/>
      <c r="H104" s="83"/>
      <c r="I104" s="83"/>
      <c r="J104" s="83"/>
      <c r="K104" s="83"/>
      <c r="L104" s="280" t="s">
        <v>111</v>
      </c>
      <c r="M104" s="312"/>
      <c r="N104" s="279"/>
      <c r="O104" s="312" t="s">
        <v>112</v>
      </c>
      <c r="P104" s="312"/>
      <c r="Q104" s="312"/>
      <c r="R104" s="279"/>
      <c r="S104" s="89"/>
      <c r="T104" s="82"/>
      <c r="U104" s="83"/>
    </row>
    <row r="105" spans="1:21" ht="15" customHeight="1" hidden="1" thickBot="1">
      <c r="A105" s="144"/>
      <c r="B105" s="144"/>
      <c r="C105" s="147"/>
      <c r="D105" s="158">
        <v>1.52</v>
      </c>
      <c r="E105" s="144"/>
      <c r="F105" s="148">
        <v>1.3</v>
      </c>
      <c r="G105" s="144"/>
      <c r="H105" s="83"/>
      <c r="I105" s="83"/>
      <c r="J105" s="83"/>
      <c r="K105" s="83"/>
      <c r="L105" s="73">
        <v>1</v>
      </c>
      <c r="M105" s="99">
        <v>2</v>
      </c>
      <c r="N105" s="74">
        <v>3</v>
      </c>
      <c r="O105" s="93">
        <v>1</v>
      </c>
      <c r="P105" s="99">
        <v>2</v>
      </c>
      <c r="Q105" s="99">
        <v>3</v>
      </c>
      <c r="R105" s="85" t="s">
        <v>13</v>
      </c>
      <c r="S105" s="89"/>
      <c r="T105" s="82"/>
      <c r="U105" s="83"/>
    </row>
    <row r="106" spans="1:21" ht="15" customHeight="1" hidden="1" thickBot="1">
      <c r="A106" s="144"/>
      <c r="B106" s="144"/>
      <c r="C106" s="144"/>
      <c r="D106" s="150"/>
      <c r="E106" s="144"/>
      <c r="F106" s="149">
        <v>1.31</v>
      </c>
      <c r="G106" s="144"/>
      <c r="H106" s="83"/>
      <c r="I106" s="83"/>
      <c r="J106" s="83"/>
      <c r="K106" s="83"/>
      <c r="L106" s="106">
        <v>130.76</v>
      </c>
      <c r="M106" s="106">
        <v>22.2292</v>
      </c>
      <c r="N106" s="100">
        <v>0.2802</v>
      </c>
      <c r="O106" s="106">
        <v>214.82</v>
      </c>
      <c r="P106" s="106">
        <v>140.1</v>
      </c>
      <c r="Q106" s="106">
        <v>63.512</v>
      </c>
      <c r="R106" s="97" t="s">
        <v>14</v>
      </c>
      <c r="S106" s="89"/>
      <c r="T106" s="82"/>
      <c r="U106" s="83"/>
    </row>
    <row r="107" spans="1:21" ht="15" customHeight="1" hidden="1" thickBot="1">
      <c r="A107" s="144"/>
      <c r="B107" s="144"/>
      <c r="C107" s="144"/>
      <c r="D107" s="150"/>
      <c r="E107" s="144"/>
      <c r="F107" s="148">
        <v>1.32</v>
      </c>
      <c r="G107" s="144"/>
      <c r="H107" s="83"/>
      <c r="I107" s="83"/>
      <c r="J107" s="83"/>
      <c r="K107" s="83"/>
      <c r="L107" s="107">
        <v>6.537999999999999</v>
      </c>
      <c r="M107" s="107">
        <v>2.6152</v>
      </c>
      <c r="N107" s="108">
        <v>0</v>
      </c>
      <c r="O107" s="107">
        <v>168.12</v>
      </c>
      <c r="P107" s="107">
        <v>83.126</v>
      </c>
      <c r="Q107" s="107">
        <v>65.38</v>
      </c>
      <c r="R107" s="98" t="s">
        <v>15</v>
      </c>
      <c r="S107" s="89"/>
      <c r="T107" s="82"/>
      <c r="U107" s="83"/>
    </row>
    <row r="108" spans="1:21" ht="15" customHeight="1" hidden="1" thickBot="1">
      <c r="A108" s="144"/>
      <c r="B108" s="144"/>
      <c r="C108" s="144"/>
      <c r="D108" s="150"/>
      <c r="E108" s="144"/>
      <c r="F108" s="148">
        <v>1.34</v>
      </c>
      <c r="G108" s="144"/>
      <c r="H108" s="83"/>
      <c r="I108" s="83"/>
      <c r="J108" s="83"/>
      <c r="K108" s="83"/>
      <c r="L108" s="90"/>
      <c r="M108" s="90"/>
      <c r="N108" s="90"/>
      <c r="O108" s="90"/>
      <c r="P108" s="90"/>
      <c r="Q108" s="90"/>
      <c r="R108" s="91"/>
      <c r="S108" s="89"/>
      <c r="T108" s="82"/>
      <c r="U108" s="83"/>
    </row>
    <row r="109" spans="1:21" ht="15" customHeight="1" hidden="1" thickBot="1">
      <c r="A109" s="144"/>
      <c r="B109" s="144"/>
      <c r="C109" s="144"/>
      <c r="D109" s="150"/>
      <c r="E109" s="144"/>
      <c r="F109" s="148">
        <v>1.36</v>
      </c>
      <c r="G109" s="144"/>
      <c r="H109" s="83"/>
      <c r="I109" s="83"/>
      <c r="J109" s="83"/>
      <c r="K109" s="83"/>
      <c r="L109" s="81"/>
      <c r="M109" s="81"/>
      <c r="N109" s="81"/>
      <c r="O109" s="81"/>
      <c r="P109" s="81"/>
      <c r="Q109" s="81"/>
      <c r="R109" s="92"/>
      <c r="S109" s="82"/>
      <c r="T109" s="82"/>
      <c r="U109" s="83"/>
    </row>
    <row r="110" spans="1:21" ht="15" customHeight="1" hidden="1" thickBot="1">
      <c r="A110" s="144"/>
      <c r="B110" s="144"/>
      <c r="C110" s="144"/>
      <c r="D110" s="150"/>
      <c r="E110" s="144"/>
      <c r="F110" s="151">
        <v>1.38</v>
      </c>
      <c r="G110" s="144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77"/>
      <c r="T110" s="82"/>
      <c r="U110" s="83"/>
    </row>
    <row r="111" spans="1:21" ht="15" customHeight="1" hidden="1" thickBot="1">
      <c r="A111" s="144"/>
      <c r="B111" s="144"/>
      <c r="C111" s="144"/>
      <c r="D111" s="150"/>
      <c r="E111" s="144"/>
      <c r="F111" s="144"/>
      <c r="G111" s="144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77"/>
      <c r="T111" s="77"/>
      <c r="U111" s="83"/>
    </row>
    <row r="112" spans="1:21" ht="15" customHeight="1" hidden="1" thickBot="1">
      <c r="A112" s="144"/>
      <c r="B112" s="144"/>
      <c r="C112" s="144"/>
      <c r="D112" s="150"/>
      <c r="E112" s="175" t="s">
        <v>115</v>
      </c>
      <c r="F112" s="177"/>
      <c r="G112" s="176"/>
      <c r="H112" s="83"/>
      <c r="I112" s="178" t="s">
        <v>114</v>
      </c>
      <c r="J112" s="179"/>
      <c r="K112" s="180"/>
      <c r="L112" s="83"/>
      <c r="M112" s="83"/>
      <c r="N112" s="83"/>
      <c r="O112" s="83"/>
      <c r="P112" s="83"/>
      <c r="Q112" s="83"/>
      <c r="R112" s="83"/>
      <c r="S112" s="77"/>
      <c r="T112" s="77"/>
      <c r="U112" s="83"/>
    </row>
    <row r="113" spans="1:21" ht="15.75" hidden="1" thickBot="1">
      <c r="A113" s="144"/>
      <c r="B113" s="144"/>
      <c r="C113" s="144"/>
      <c r="D113" s="150"/>
      <c r="E113" s="152"/>
      <c r="F113" s="153">
        <v>0.65</v>
      </c>
      <c r="G113" s="147"/>
      <c r="H113" s="83"/>
      <c r="I113" s="83"/>
      <c r="J113" s="101">
        <v>24</v>
      </c>
      <c r="K113" s="83"/>
      <c r="L113" s="83"/>
      <c r="M113" s="83"/>
      <c r="N113" s="83"/>
      <c r="O113" s="83"/>
      <c r="P113" s="83"/>
      <c r="Q113" s="83"/>
      <c r="R113" s="83"/>
      <c r="S113" s="77"/>
      <c r="T113" s="77"/>
      <c r="U113" s="83"/>
    </row>
    <row r="114" spans="1:21" ht="15.75" hidden="1" thickBot="1">
      <c r="A114" s="144"/>
      <c r="B114" s="144"/>
      <c r="C114" s="144"/>
      <c r="D114" s="150"/>
      <c r="E114" s="152"/>
      <c r="F114" s="154">
        <v>0.85</v>
      </c>
      <c r="G114" s="147"/>
      <c r="H114" s="83"/>
      <c r="I114" s="83"/>
      <c r="J114" s="102">
        <v>25</v>
      </c>
      <c r="K114" s="83"/>
      <c r="L114" s="83"/>
      <c r="M114" s="83"/>
      <c r="N114" s="83"/>
      <c r="O114" s="83"/>
      <c r="P114" s="83"/>
      <c r="Q114" s="83"/>
      <c r="R114" s="83"/>
      <c r="S114" s="77"/>
      <c r="T114" s="77"/>
      <c r="U114" s="83"/>
    </row>
    <row r="115" spans="1:21" ht="15.75" hidden="1" thickBot="1">
      <c r="A115" s="144"/>
      <c r="B115" s="144"/>
      <c r="C115" s="144"/>
      <c r="D115" s="150"/>
      <c r="E115" s="152"/>
      <c r="F115" s="155">
        <v>1</v>
      </c>
      <c r="G115" s="147"/>
      <c r="H115" s="83"/>
      <c r="I115" s="83"/>
      <c r="J115" s="103">
        <v>26</v>
      </c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</row>
    <row r="116" spans="1:21" ht="15.75" hidden="1" thickBot="1">
      <c r="A116" s="144"/>
      <c r="B116" s="144"/>
      <c r="C116" s="144"/>
      <c r="D116" s="150"/>
      <c r="E116" s="152"/>
      <c r="F116" s="154">
        <v>1.15</v>
      </c>
      <c r="G116" s="147"/>
      <c r="H116" s="83"/>
      <c r="I116" s="83"/>
      <c r="J116" s="102">
        <v>27</v>
      </c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</row>
    <row r="117" spans="1:21" ht="15.75" hidden="1" thickBot="1">
      <c r="A117" s="144"/>
      <c r="B117" s="144"/>
      <c r="C117" s="144"/>
      <c r="D117" s="150"/>
      <c r="E117" s="152"/>
      <c r="F117" s="155">
        <v>1.3</v>
      </c>
      <c r="G117" s="147"/>
      <c r="H117" s="83"/>
      <c r="I117" s="83"/>
      <c r="J117" s="103">
        <v>28</v>
      </c>
      <c r="K117" s="83"/>
      <c r="L117" s="83"/>
      <c r="M117" s="83"/>
      <c r="N117" s="83"/>
      <c r="O117" s="83"/>
      <c r="P117" s="83"/>
      <c r="Q117" s="83"/>
      <c r="R117" s="83"/>
      <c r="S117" s="81"/>
      <c r="T117" s="92"/>
      <c r="U117" s="4"/>
    </row>
    <row r="118" spans="1:21" ht="15.75" hidden="1" thickBot="1">
      <c r="A118" s="144"/>
      <c r="B118" s="144"/>
      <c r="C118" s="144"/>
      <c r="D118" s="144"/>
      <c r="E118" s="152"/>
      <c r="F118" s="154">
        <v>1.45</v>
      </c>
      <c r="G118" s="147"/>
      <c r="H118" s="83"/>
      <c r="I118" s="83"/>
      <c r="J118" s="102">
        <v>29</v>
      </c>
      <c r="K118" s="83"/>
      <c r="L118" s="83"/>
      <c r="M118" s="83"/>
      <c r="N118" s="83"/>
      <c r="O118" s="83"/>
      <c r="P118" s="83"/>
      <c r="Q118" s="83"/>
      <c r="R118" s="83"/>
      <c r="S118" s="118"/>
      <c r="T118" s="92"/>
      <c r="U118" s="4"/>
    </row>
    <row r="119" spans="1:21" ht="15.75" hidden="1" thickBot="1">
      <c r="A119" s="144"/>
      <c r="B119" s="144"/>
      <c r="C119" s="144"/>
      <c r="D119" s="144"/>
      <c r="E119" s="152"/>
      <c r="F119" s="155">
        <v>1.6</v>
      </c>
      <c r="G119" s="147"/>
      <c r="H119" s="83"/>
      <c r="I119" s="83"/>
      <c r="J119" s="103">
        <v>30</v>
      </c>
      <c r="K119" s="83"/>
      <c r="L119" s="83"/>
      <c r="M119" s="83"/>
      <c r="N119" s="83"/>
      <c r="O119" s="83"/>
      <c r="P119" s="83"/>
      <c r="Q119" s="83"/>
      <c r="R119" s="83"/>
      <c r="S119" s="118"/>
      <c r="T119" s="92"/>
      <c r="U119" s="4"/>
    </row>
    <row r="120" spans="1:21" ht="15.75" hidden="1" thickBot="1">
      <c r="A120" s="144"/>
      <c r="B120" s="144"/>
      <c r="C120" s="144"/>
      <c r="D120" s="144"/>
      <c r="E120" s="152"/>
      <c r="F120" s="154">
        <v>1.75</v>
      </c>
      <c r="G120" s="147"/>
      <c r="H120" s="83"/>
      <c r="I120" s="83"/>
      <c r="J120" s="104">
        <v>31</v>
      </c>
      <c r="K120" s="83"/>
      <c r="L120" s="83"/>
      <c r="M120" s="83"/>
      <c r="N120" s="83"/>
      <c r="O120" s="83"/>
      <c r="P120" s="83"/>
      <c r="Q120" s="83"/>
      <c r="R120" s="83"/>
      <c r="S120" s="118"/>
      <c r="T120" s="92"/>
      <c r="U120" s="4"/>
    </row>
    <row r="121" spans="1:21" ht="15.75" hidden="1" thickBot="1">
      <c r="A121" s="144"/>
      <c r="B121" s="144"/>
      <c r="C121" s="144"/>
      <c r="D121" s="144"/>
      <c r="E121" s="152"/>
      <c r="F121" s="156"/>
      <c r="G121" s="147"/>
      <c r="H121" s="83"/>
      <c r="I121" s="83"/>
      <c r="J121" s="105">
        <v>32</v>
      </c>
      <c r="K121" s="83"/>
      <c r="L121" s="83"/>
      <c r="M121" s="83"/>
      <c r="N121" s="83"/>
      <c r="O121" s="83"/>
      <c r="P121" s="83"/>
      <c r="Q121" s="83"/>
      <c r="R121" s="83"/>
      <c r="S121" s="118"/>
      <c r="T121" s="92"/>
      <c r="U121" s="4"/>
    </row>
    <row r="122" spans="1:21" ht="15" hidden="1">
      <c r="A122" s="144"/>
      <c r="B122" s="144"/>
      <c r="C122" s="144"/>
      <c r="D122" s="144"/>
      <c r="E122" s="152"/>
      <c r="F122" s="156"/>
      <c r="G122" s="147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92"/>
      <c r="T122" s="92"/>
      <c r="U122" s="4"/>
    </row>
    <row r="123" spans="1:21" ht="12.75" hidden="1">
      <c r="A123" s="144"/>
      <c r="B123" s="144"/>
      <c r="C123" s="144"/>
      <c r="D123" s="144"/>
      <c r="E123" s="144"/>
      <c r="F123" s="144"/>
      <c r="G123" s="144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</row>
    <row r="124" spans="1:7" ht="12.75">
      <c r="A124" s="157"/>
      <c r="B124" s="157"/>
      <c r="C124" s="157"/>
      <c r="D124" s="157"/>
      <c r="E124" s="157"/>
      <c r="F124" s="157"/>
      <c r="G124" s="157"/>
    </row>
    <row r="125" spans="1:7" ht="12.75">
      <c r="A125" s="157"/>
      <c r="B125" s="157"/>
      <c r="C125" s="157"/>
      <c r="D125" s="157"/>
      <c r="E125" s="157"/>
      <c r="F125" s="157"/>
      <c r="G125" s="157"/>
    </row>
    <row r="126" spans="1:7" ht="12.75">
      <c r="A126" s="157"/>
      <c r="B126" s="157"/>
      <c r="C126" s="157"/>
      <c r="D126" s="157"/>
      <c r="E126" s="157"/>
      <c r="F126" s="157"/>
      <c r="G126" s="157"/>
    </row>
    <row r="127" spans="1:7" ht="12.75">
      <c r="A127" s="157"/>
      <c r="B127" s="157"/>
      <c r="C127" s="157"/>
      <c r="D127" s="157"/>
      <c r="E127" s="157"/>
      <c r="F127" s="157"/>
      <c r="G127" s="157"/>
    </row>
    <row r="128" spans="1:7" ht="12.75">
      <c r="A128" s="157"/>
      <c r="B128" s="157"/>
      <c r="C128" s="157"/>
      <c r="D128" s="157"/>
      <c r="E128" s="157"/>
      <c r="F128" s="157"/>
      <c r="G128" s="157"/>
    </row>
    <row r="129" spans="1:7" ht="12.75">
      <c r="A129" s="157"/>
      <c r="B129" s="157"/>
      <c r="C129" s="157"/>
      <c r="D129" s="157"/>
      <c r="E129" s="157"/>
      <c r="F129" s="157"/>
      <c r="G129" s="157"/>
    </row>
    <row r="130" spans="1:7" ht="12.75">
      <c r="A130" s="157"/>
      <c r="B130" s="157"/>
      <c r="C130" s="157"/>
      <c r="D130" s="157"/>
      <c r="E130" s="157"/>
      <c r="F130" s="157"/>
      <c r="G130" s="157"/>
    </row>
    <row r="131" spans="1:7" ht="12.75">
      <c r="A131" s="157"/>
      <c r="B131" s="157"/>
      <c r="C131" s="157"/>
      <c r="D131" s="157"/>
      <c r="E131" s="157"/>
      <c r="F131" s="157"/>
      <c r="G131" s="157"/>
    </row>
    <row r="132" spans="1:7" ht="12.75">
      <c r="A132" s="157"/>
      <c r="B132" s="157"/>
      <c r="C132" s="157"/>
      <c r="D132" s="157"/>
      <c r="E132" s="157"/>
      <c r="F132" s="157"/>
      <c r="G132" s="157"/>
    </row>
    <row r="133" spans="1:7" ht="12.75">
      <c r="A133" s="157"/>
      <c r="B133" s="157"/>
      <c r="C133" s="157"/>
      <c r="D133" s="157"/>
      <c r="E133" s="157"/>
      <c r="F133" s="157"/>
      <c r="G133" s="157"/>
    </row>
    <row r="134" spans="1:7" ht="12.75">
      <c r="A134" s="157"/>
      <c r="B134" s="157"/>
      <c r="C134" s="157"/>
      <c r="D134" s="157"/>
      <c r="E134" s="157"/>
      <c r="F134" s="157"/>
      <c r="G134" s="157"/>
    </row>
    <row r="135" spans="1:7" ht="12.75">
      <c r="A135" s="157"/>
      <c r="B135" s="157"/>
      <c r="C135" s="157"/>
      <c r="D135" s="157"/>
      <c r="E135" s="157"/>
      <c r="F135" s="157"/>
      <c r="G135" s="157"/>
    </row>
    <row r="136" spans="1:7" ht="12.75">
      <c r="A136" s="157"/>
      <c r="B136" s="157"/>
      <c r="C136" s="157"/>
      <c r="D136" s="157"/>
      <c r="E136" s="157"/>
      <c r="F136" s="157"/>
      <c r="G136" s="157"/>
    </row>
    <row r="137" spans="1:7" ht="12.75">
      <c r="A137" s="157"/>
      <c r="B137" s="157"/>
      <c r="C137" s="157"/>
      <c r="D137" s="157"/>
      <c r="E137" s="157"/>
      <c r="F137" s="157"/>
      <c r="G137" s="157"/>
    </row>
    <row r="138" spans="1:7" ht="12.75">
      <c r="A138" s="157"/>
      <c r="B138" s="157"/>
      <c r="C138" s="157"/>
      <c r="D138" s="157"/>
      <c r="E138" s="157"/>
      <c r="F138" s="157"/>
      <c r="G138" s="157"/>
    </row>
    <row r="139" spans="1:7" ht="12.75">
      <c r="A139" s="157"/>
      <c r="B139" s="157"/>
      <c r="C139" s="157"/>
      <c r="D139" s="157"/>
      <c r="E139" s="157"/>
      <c r="F139" s="157"/>
      <c r="G139" s="157"/>
    </row>
  </sheetData>
  <mergeCells count="101">
    <mergeCell ref="H93:I93"/>
    <mergeCell ref="H90:I90"/>
    <mergeCell ref="H91:I91"/>
    <mergeCell ref="H92:I92"/>
    <mergeCell ref="C39:M39"/>
    <mergeCell ref="G40:I40"/>
    <mergeCell ref="J40:K40"/>
    <mergeCell ref="L32:M33"/>
    <mergeCell ref="S89:U89"/>
    <mergeCell ref="I69:J69"/>
    <mergeCell ref="K69:L69"/>
    <mergeCell ref="O78:P78"/>
    <mergeCell ref="K80:L81"/>
    <mergeCell ref="K73:L74"/>
    <mergeCell ref="H88:I88"/>
    <mergeCell ref="H89:I89"/>
    <mergeCell ref="F77:G77"/>
    <mergeCell ref="F78:G78"/>
    <mergeCell ref="C75:M75"/>
    <mergeCell ref="I76:J76"/>
    <mergeCell ref="K76:L76"/>
    <mergeCell ref="F76:G76"/>
    <mergeCell ref="C61:I61"/>
    <mergeCell ref="C57:I57"/>
    <mergeCell ref="C60:I60"/>
    <mergeCell ref="C76:D76"/>
    <mergeCell ref="C63:G63"/>
    <mergeCell ref="C74:D74"/>
    <mergeCell ref="E73:E74"/>
    <mergeCell ref="F73:G74"/>
    <mergeCell ref="C67:M67"/>
    <mergeCell ref="C65:H65"/>
    <mergeCell ref="O52:Q52"/>
    <mergeCell ref="C59:I59"/>
    <mergeCell ref="C55:I55"/>
    <mergeCell ref="J44:K44"/>
    <mergeCell ref="G45:I45"/>
    <mergeCell ref="C47:M47"/>
    <mergeCell ref="C51:I51"/>
    <mergeCell ref="G44:I44"/>
    <mergeCell ref="C41:F41"/>
    <mergeCell ref="G41:I41"/>
    <mergeCell ref="J41:K41"/>
    <mergeCell ref="R8:S8"/>
    <mergeCell ref="O19:Q19"/>
    <mergeCell ref="C12:E12"/>
    <mergeCell ref="L36:M37"/>
    <mergeCell ref="C37:I37"/>
    <mergeCell ref="C35:I35"/>
    <mergeCell ref="L34:M35"/>
    <mergeCell ref="C10:G10"/>
    <mergeCell ref="H10:J10"/>
    <mergeCell ref="O32:P32"/>
    <mergeCell ref="O8:Q8"/>
    <mergeCell ref="L19:M20"/>
    <mergeCell ref="C28:G28"/>
    <mergeCell ref="L29:M30"/>
    <mergeCell ref="C31:I31"/>
    <mergeCell ref="L31:M31"/>
    <mergeCell ref="F71:G71"/>
    <mergeCell ref="C68:G68"/>
    <mergeCell ref="C69:D69"/>
    <mergeCell ref="F69:G69"/>
    <mergeCell ref="F70:G70"/>
    <mergeCell ref="E112:G112"/>
    <mergeCell ref="I112:K112"/>
    <mergeCell ref="C8:M8"/>
    <mergeCell ref="C33:I33"/>
    <mergeCell ref="L10:M12"/>
    <mergeCell ref="L13:M14"/>
    <mergeCell ref="L15:M16"/>
    <mergeCell ref="L17:M18"/>
    <mergeCell ref="C30:I30"/>
    <mergeCell ref="C26:M26"/>
    <mergeCell ref="O104:R104"/>
    <mergeCell ref="L104:N104"/>
    <mergeCell ref="E89:F89"/>
    <mergeCell ref="E88:F88"/>
    <mergeCell ref="M89:R89"/>
    <mergeCell ref="F94:G94"/>
    <mergeCell ref="E90:F90"/>
    <mergeCell ref="E91:F91"/>
    <mergeCell ref="E92:F92"/>
    <mergeCell ref="D94:E94"/>
    <mergeCell ref="F79:G79"/>
    <mergeCell ref="H87:I87"/>
    <mergeCell ref="C81:D81"/>
    <mergeCell ref="E80:E81"/>
    <mergeCell ref="C80:D80"/>
    <mergeCell ref="I80:J81"/>
    <mergeCell ref="F80:G81"/>
    <mergeCell ref="Z8:AB8"/>
    <mergeCell ref="F72:G72"/>
    <mergeCell ref="C45:F45"/>
    <mergeCell ref="C73:D73"/>
    <mergeCell ref="I73:J74"/>
    <mergeCell ref="C53:I53"/>
    <mergeCell ref="I68:M68"/>
    <mergeCell ref="T8:U8"/>
    <mergeCell ref="L23:M24"/>
    <mergeCell ref="R19:S19"/>
  </mergeCells>
  <conditionalFormatting sqref="J34 J36">
    <cfRule type="cellIs" priority="1" dxfId="0" operator="equal" stopIfTrue="1">
      <formula>$O$20</formula>
    </cfRule>
    <cfRule type="cellIs" priority="2" dxfId="0" operator="equal" stopIfTrue="1">
      <formula>$O$21</formula>
    </cfRule>
    <cfRule type="cellIs" priority="3" dxfId="0" operator="equal" stopIfTrue="1">
      <formula>$O$22</formula>
    </cfRule>
  </conditionalFormatting>
  <dataValidations count="6">
    <dataValidation type="list" allowBlank="1" showInputMessage="1" showErrorMessage="1" sqref="J35">
      <formula1>$J$113:$J$121</formula1>
    </dataValidation>
    <dataValidation type="list" allowBlank="1" showInputMessage="1" showErrorMessage="1" sqref="J33">
      <formula1>$F$113:$F$120</formula1>
    </dataValidation>
    <dataValidation type="list" allowBlank="1" showInputMessage="1" showErrorMessage="1" sqref="J18">
      <formula1>$D$95:$D$105</formula1>
    </dataValidation>
    <dataValidation type="list" allowBlank="1" showInputMessage="1" showErrorMessage="1" sqref="J28">
      <formula1>$L$91:$L$96</formula1>
    </dataValidation>
    <dataValidation type="list" allowBlank="1" showInputMessage="1" showErrorMessage="1" sqref="H10">
      <formula1>$E$89:$E$92</formula1>
    </dataValidation>
    <dataValidation type="list" allowBlank="1" showInputMessage="1" showErrorMessage="1" sqref="J22">
      <formula1>$F$95:$F$110</formula1>
    </dataValidation>
  </dataValidations>
  <printOptions horizontalCentered="1" verticalCentered="1"/>
  <pageMargins left="0.75" right="0.75" top="0.5" bottom="0.5" header="0.5" footer="0.5"/>
  <pageSetup fitToHeight="1" fitToWidth="1" horizontalDpi="600" verticalDpi="600" orientation="portrait" scale="70" r:id="rId2"/>
  <rowBreaks count="2" manualBreakCount="2">
    <brk id="52" min="1" max="13" man="1"/>
    <brk id="89" max="255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workbookViewId="0" topLeftCell="A71">
      <selection activeCell="O12" sqref="O12"/>
    </sheetView>
  </sheetViews>
  <sheetFormatPr defaultColWidth="9.140625" defaultRowHeight="12.75"/>
  <cols>
    <col min="1" max="1" width="2.8515625" style="0" customWidth="1"/>
    <col min="2" max="7" width="4.7109375" style="0" customWidth="1"/>
    <col min="8" max="8" width="4.28125" style="0" customWidth="1"/>
    <col min="9" max="9" width="4.7109375" style="0" customWidth="1"/>
    <col min="10" max="14" width="3.7109375" style="0" customWidth="1"/>
    <col min="15" max="15" width="14.421875" style="0" customWidth="1"/>
    <col min="16" max="16" width="2.140625" style="0" customWidth="1"/>
    <col min="17" max="17" width="5.140625" style="0" customWidth="1"/>
    <col min="18" max="25" width="4.7109375" style="0" customWidth="1"/>
    <col min="26" max="26" width="5.140625" style="0" customWidth="1"/>
    <col min="27" max="27" width="4.7109375" style="0" customWidth="1"/>
    <col min="28" max="28" width="2.57421875" style="0" customWidth="1"/>
    <col min="29" max="31" width="4.7109375" style="0" customWidth="1"/>
  </cols>
  <sheetData>
    <row r="1" spans="1:28" ht="12" customHeight="1" thickBo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6"/>
    </row>
    <row r="2" spans="1:28" ht="50.25" customHeight="1">
      <c r="A2" s="187"/>
      <c r="B2" s="344"/>
      <c r="C2" s="345"/>
      <c r="D2" s="345"/>
      <c r="E2" s="345"/>
      <c r="F2" s="345"/>
      <c r="G2" s="345"/>
      <c r="H2" s="345"/>
      <c r="I2" s="345"/>
      <c r="J2" s="345"/>
      <c r="K2" s="171"/>
      <c r="L2" s="345"/>
      <c r="M2" s="346"/>
      <c r="N2" s="346"/>
      <c r="O2" s="472" t="s">
        <v>164</v>
      </c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71"/>
      <c r="AB2" s="191"/>
    </row>
    <row r="3" spans="1:28" ht="44.25" hidden="1">
      <c r="A3" s="187"/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0"/>
      <c r="AB3" s="191"/>
    </row>
    <row r="4" spans="1:28" ht="44.25" hidden="1">
      <c r="A4" s="187"/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0"/>
      <c r="AB4" s="191"/>
    </row>
    <row r="5" spans="1:28" ht="13.5" customHeight="1" thickBot="1">
      <c r="A5" s="187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191"/>
    </row>
    <row r="6" spans="1:28" ht="19.5" thickBot="1" thickTop="1">
      <c r="A6" s="187"/>
      <c r="B6" s="514" t="s">
        <v>46</v>
      </c>
      <c r="C6" s="515"/>
      <c r="D6" s="515"/>
      <c r="E6" s="515"/>
      <c r="F6" s="516"/>
      <c r="G6" s="347"/>
      <c r="H6" s="348"/>
      <c r="I6" s="550" t="s">
        <v>134</v>
      </c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1"/>
      <c r="Y6" s="551"/>
      <c r="Z6" s="551"/>
      <c r="AA6" s="349"/>
      <c r="AB6" s="191"/>
    </row>
    <row r="7" spans="1:28" ht="13.5" thickTop="1">
      <c r="A7" s="187"/>
      <c r="B7" s="352"/>
      <c r="C7" s="264"/>
      <c r="D7" s="264"/>
      <c r="E7" s="264"/>
      <c r="F7" s="264"/>
      <c r="G7" s="264"/>
      <c r="H7" s="264"/>
      <c r="I7" s="476" t="s">
        <v>128</v>
      </c>
      <c r="J7" s="476"/>
      <c r="K7" s="476"/>
      <c r="L7" s="476"/>
      <c r="M7" s="476"/>
      <c r="N7" s="476"/>
      <c r="O7" s="476"/>
      <c r="P7" s="476"/>
      <c r="Q7" s="476"/>
      <c r="R7" s="552"/>
      <c r="S7" s="552"/>
      <c r="T7" s="552"/>
      <c r="U7" s="552"/>
      <c r="V7" s="552"/>
      <c r="W7" s="552"/>
      <c r="X7" s="552"/>
      <c r="Y7" s="552"/>
      <c r="Z7" s="552"/>
      <c r="AA7" s="351"/>
      <c r="AB7" s="191"/>
    </row>
    <row r="8" spans="1:28" ht="14.25" customHeight="1" thickBot="1">
      <c r="A8" s="187"/>
      <c r="B8" s="352"/>
      <c r="C8" s="353"/>
      <c r="D8" s="264"/>
      <c r="E8" s="264"/>
      <c r="F8" s="264"/>
      <c r="G8" s="264"/>
      <c r="H8" s="264"/>
      <c r="I8" s="474" t="s">
        <v>135</v>
      </c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264"/>
      <c r="Y8" s="264"/>
      <c r="Z8" s="264"/>
      <c r="AA8" s="351"/>
      <c r="AB8" s="191"/>
    </row>
    <row r="9" spans="1:28" ht="16.5" thickBot="1">
      <c r="A9" s="187"/>
      <c r="B9" s="352"/>
      <c r="C9" s="40" t="s">
        <v>5</v>
      </c>
      <c r="D9" s="264"/>
      <c r="E9" s="264"/>
      <c r="F9" s="264"/>
      <c r="G9" s="264"/>
      <c r="H9" s="521">
        <v>102180</v>
      </c>
      <c r="I9" s="522"/>
      <c r="J9" s="522"/>
      <c r="K9" s="546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351"/>
      <c r="AB9" s="191"/>
    </row>
    <row r="10" spans="1:28" ht="4.5" customHeight="1">
      <c r="A10" s="187"/>
      <c r="B10" s="35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351"/>
      <c r="AB10" s="191"/>
    </row>
    <row r="11" spans="1:28" ht="14.25">
      <c r="A11" s="187"/>
      <c r="B11" s="352"/>
      <c r="C11" s="353"/>
      <c r="D11" s="264"/>
      <c r="E11" s="264"/>
      <c r="F11" s="264"/>
      <c r="G11" s="264"/>
      <c r="H11" s="264"/>
      <c r="I11" s="476" t="s">
        <v>149</v>
      </c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264"/>
      <c r="Y11" s="264"/>
      <c r="Z11" s="264"/>
      <c r="AA11" s="351"/>
      <c r="AB11" s="191"/>
    </row>
    <row r="12" spans="1:28" ht="12.75">
      <c r="A12" s="187"/>
      <c r="B12" s="352"/>
      <c r="C12" s="264"/>
      <c r="D12" s="264"/>
      <c r="E12" s="264"/>
      <c r="F12" s="264"/>
      <c r="G12" s="264"/>
      <c r="H12" s="264"/>
      <c r="I12" s="264" t="s">
        <v>26</v>
      </c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351"/>
      <c r="AB12" s="191"/>
    </row>
    <row r="13" spans="1:28" ht="15" thickBot="1">
      <c r="A13" s="187"/>
      <c r="B13" s="352"/>
      <c r="C13" s="264"/>
      <c r="D13" s="264"/>
      <c r="E13" s="264"/>
      <c r="F13" s="264"/>
      <c r="G13" s="264"/>
      <c r="H13" s="264"/>
      <c r="I13" s="476" t="s">
        <v>136</v>
      </c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264"/>
      <c r="Y13" s="264"/>
      <c r="Z13" s="264"/>
      <c r="AA13" s="351"/>
      <c r="AB13" s="191"/>
    </row>
    <row r="14" spans="1:28" ht="16.5" thickBot="1">
      <c r="A14" s="187"/>
      <c r="B14" s="352"/>
      <c r="C14" s="40" t="s">
        <v>6</v>
      </c>
      <c r="D14" s="264"/>
      <c r="E14" s="264"/>
      <c r="F14" s="264"/>
      <c r="G14" s="264"/>
      <c r="H14" s="521">
        <v>242500</v>
      </c>
      <c r="I14" s="522"/>
      <c r="J14" s="522"/>
      <c r="K14" s="523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351"/>
      <c r="AB14" s="191"/>
    </row>
    <row r="15" spans="1:28" ht="4.5" customHeight="1" thickBot="1">
      <c r="A15" s="187"/>
      <c r="B15" s="352"/>
      <c r="C15" s="264"/>
      <c r="D15" s="264"/>
      <c r="E15" s="264"/>
      <c r="F15" s="264"/>
      <c r="G15" s="264"/>
      <c r="H15" s="354"/>
      <c r="I15" s="354"/>
      <c r="J15" s="35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351"/>
      <c r="AB15" s="191"/>
    </row>
    <row r="16" spans="1:28" ht="19.5" thickBot="1" thickTop="1">
      <c r="A16" s="187"/>
      <c r="B16" s="547" t="s">
        <v>88</v>
      </c>
      <c r="C16" s="548"/>
      <c r="D16" s="548"/>
      <c r="E16" s="548"/>
      <c r="F16" s="549"/>
      <c r="G16" s="264"/>
      <c r="H16" s="354"/>
      <c r="I16" s="553" t="s">
        <v>98</v>
      </c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351"/>
      <c r="AB16" s="191"/>
    </row>
    <row r="17" spans="1:28" ht="16.5" thickTop="1">
      <c r="A17" s="187"/>
      <c r="B17" s="352"/>
      <c r="C17" s="264"/>
      <c r="D17" s="264"/>
      <c r="E17" s="264"/>
      <c r="F17" s="264"/>
      <c r="G17" s="264"/>
      <c r="H17" s="354"/>
      <c r="I17" s="524" t="s">
        <v>137</v>
      </c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55"/>
      <c r="AB17" s="191"/>
    </row>
    <row r="18" spans="1:28" ht="14.25">
      <c r="A18" s="187"/>
      <c r="B18" s="352"/>
      <c r="C18" s="264"/>
      <c r="D18" s="264"/>
      <c r="E18" s="264"/>
      <c r="F18" s="264"/>
      <c r="G18" s="264"/>
      <c r="H18" s="264"/>
      <c r="I18" s="474" t="s">
        <v>138</v>
      </c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351"/>
      <c r="AB18" s="191"/>
    </row>
    <row r="19" spans="1:28" ht="14.25">
      <c r="A19" s="187"/>
      <c r="B19" s="352"/>
      <c r="C19" s="264"/>
      <c r="D19" s="264"/>
      <c r="E19" s="264"/>
      <c r="F19" s="264"/>
      <c r="G19" s="264"/>
      <c r="H19" s="264"/>
      <c r="I19" s="524" t="s">
        <v>139</v>
      </c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351"/>
      <c r="AB19" s="191"/>
    </row>
    <row r="20" spans="1:28" ht="14.25">
      <c r="A20" s="187"/>
      <c r="B20" s="352"/>
      <c r="C20" s="264"/>
      <c r="D20" s="264"/>
      <c r="E20" s="264"/>
      <c r="F20" s="264"/>
      <c r="G20" s="264"/>
      <c r="H20" s="264"/>
      <c r="I20" s="474" t="s">
        <v>140</v>
      </c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5"/>
      <c r="AB20" s="191"/>
    </row>
    <row r="21" spans="1:28" ht="15" thickBot="1">
      <c r="A21" s="187"/>
      <c r="B21" s="352"/>
      <c r="C21" s="264"/>
      <c r="D21" s="264"/>
      <c r="E21" s="264"/>
      <c r="F21" s="264"/>
      <c r="G21" s="264"/>
      <c r="H21" s="264"/>
      <c r="I21" s="355" t="s">
        <v>141</v>
      </c>
      <c r="J21" s="355"/>
      <c r="K21" s="355"/>
      <c r="L21" s="355"/>
      <c r="M21" s="355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1"/>
      <c r="AB21" s="191"/>
    </row>
    <row r="22" spans="1:28" ht="16.5" thickBot="1">
      <c r="A22" s="187"/>
      <c r="B22" s="352"/>
      <c r="C22" s="264"/>
      <c r="D22" s="264"/>
      <c r="E22" s="264"/>
      <c r="F22" s="264"/>
      <c r="G22" s="264"/>
      <c r="H22" s="518">
        <v>1.3076923076923077</v>
      </c>
      <c r="I22" s="519"/>
      <c r="J22" s="52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1"/>
      <c r="AB22" s="191"/>
    </row>
    <row r="23" spans="1:28" ht="4.5" customHeight="1" thickBot="1">
      <c r="A23" s="187"/>
      <c r="B23" s="352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351"/>
      <c r="AB23" s="191"/>
    </row>
    <row r="24" spans="1:28" ht="19.5" thickBot="1" thickTop="1">
      <c r="A24" s="187"/>
      <c r="B24" s="514" t="s">
        <v>47</v>
      </c>
      <c r="C24" s="515"/>
      <c r="D24" s="515"/>
      <c r="E24" s="515"/>
      <c r="F24" s="516"/>
      <c r="G24" s="356"/>
      <c r="H24" s="356"/>
      <c r="I24" s="264" t="s">
        <v>142</v>
      </c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351"/>
      <c r="AB24" s="191"/>
    </row>
    <row r="25" spans="1:28" ht="13.5" thickTop="1">
      <c r="A25" s="187"/>
      <c r="B25" s="352"/>
      <c r="C25" s="264"/>
      <c r="D25" s="264"/>
      <c r="E25" s="264"/>
      <c r="F25" s="264"/>
      <c r="G25" s="264"/>
      <c r="H25" s="264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264"/>
      <c r="V25" s="264"/>
      <c r="W25" s="264"/>
      <c r="X25" s="264"/>
      <c r="Y25" s="264"/>
      <c r="Z25" s="264"/>
      <c r="AA25" s="351"/>
      <c r="AB25" s="191"/>
    </row>
    <row r="26" spans="1:28" ht="15" thickBot="1">
      <c r="A26" s="187"/>
      <c r="B26" s="352"/>
      <c r="C26" s="264"/>
      <c r="D26" s="264"/>
      <c r="E26" s="264"/>
      <c r="F26" s="264"/>
      <c r="G26" s="264"/>
      <c r="H26" s="264"/>
      <c r="I26" s="476" t="s">
        <v>131</v>
      </c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264"/>
      <c r="X26" s="264"/>
      <c r="Y26" s="264"/>
      <c r="Z26" s="264"/>
      <c r="AA26" s="351"/>
      <c r="AB26" s="191"/>
    </row>
    <row r="27" spans="1:28" ht="16.5" thickBot="1">
      <c r="A27" s="187"/>
      <c r="B27" s="352"/>
      <c r="C27" s="40" t="s">
        <v>5</v>
      </c>
      <c r="D27" s="264"/>
      <c r="E27" s="264"/>
      <c r="F27" s="264"/>
      <c r="G27" s="264"/>
      <c r="H27" s="525">
        <v>240000</v>
      </c>
      <c r="I27" s="526"/>
      <c r="J27" s="527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351"/>
      <c r="AB27" s="191"/>
    </row>
    <row r="28" spans="1:28" ht="14.25">
      <c r="A28" s="187"/>
      <c r="B28" s="352"/>
      <c r="C28" s="264"/>
      <c r="D28" s="264"/>
      <c r="E28" s="264"/>
      <c r="F28" s="264"/>
      <c r="G28" s="264"/>
      <c r="H28" s="264"/>
      <c r="I28" s="264" t="s">
        <v>118</v>
      </c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351"/>
      <c r="AB28" s="191"/>
    </row>
    <row r="29" spans="1:28" ht="14.25">
      <c r="A29" s="187"/>
      <c r="B29" s="352"/>
      <c r="C29" s="264"/>
      <c r="D29" s="264"/>
      <c r="E29" s="264"/>
      <c r="F29" s="264"/>
      <c r="G29" s="264"/>
      <c r="H29" s="264"/>
      <c r="I29" s="476" t="s">
        <v>124</v>
      </c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264"/>
      <c r="V29" s="264"/>
      <c r="W29" s="264"/>
      <c r="X29" s="264"/>
      <c r="Y29" s="264"/>
      <c r="Z29" s="264"/>
      <c r="AA29" s="351"/>
      <c r="AB29" s="191"/>
    </row>
    <row r="30" spans="1:28" ht="13.5" thickBot="1">
      <c r="A30" s="187"/>
      <c r="B30" s="352"/>
      <c r="C30" s="264"/>
      <c r="D30" s="264"/>
      <c r="E30" s="264"/>
      <c r="F30" s="264"/>
      <c r="G30" s="264"/>
      <c r="H30" s="264"/>
      <c r="I30" s="517"/>
      <c r="J30" s="517"/>
      <c r="K30" s="517"/>
      <c r="L30" s="517"/>
      <c r="M30" s="517"/>
      <c r="N30" s="517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351"/>
      <c r="AB30" s="191"/>
    </row>
    <row r="31" spans="1:28" ht="16.5" thickBot="1">
      <c r="A31" s="187"/>
      <c r="B31" s="352"/>
      <c r="C31" s="40" t="s">
        <v>6</v>
      </c>
      <c r="D31" s="264"/>
      <c r="E31" s="264"/>
      <c r="F31" s="264"/>
      <c r="G31" s="264"/>
      <c r="H31" s="525">
        <v>80000</v>
      </c>
      <c r="I31" s="526"/>
      <c r="J31" s="527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351"/>
      <c r="AB31" s="191"/>
    </row>
    <row r="32" spans="1:28" ht="16.5" thickBot="1">
      <c r="A32" s="187"/>
      <c r="B32" s="359"/>
      <c r="C32" s="357"/>
      <c r="D32" s="357"/>
      <c r="E32" s="357"/>
      <c r="F32" s="357"/>
      <c r="G32" s="357"/>
      <c r="H32" s="360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8"/>
      <c r="AB32" s="191"/>
    </row>
    <row r="33" spans="1:28" ht="13.5" customHeight="1" thickBot="1">
      <c r="A33" s="187"/>
      <c r="B33" s="364"/>
      <c r="C33" s="364"/>
      <c r="D33" s="364"/>
      <c r="E33" s="364"/>
      <c r="F33" s="364"/>
      <c r="G33" s="364"/>
      <c r="H33" s="365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191"/>
    </row>
    <row r="34" spans="1:28" ht="13.5" thickBot="1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6"/>
    </row>
    <row r="35" spans="1:28" ht="19.5" thickBot="1" thickTop="1">
      <c r="A35" s="187"/>
      <c r="B35" s="514" t="s">
        <v>48</v>
      </c>
      <c r="C35" s="515"/>
      <c r="D35" s="515"/>
      <c r="E35" s="515"/>
      <c r="F35" s="516"/>
      <c r="G35" s="347"/>
      <c r="H35" s="347"/>
      <c r="I35" s="528" t="s">
        <v>119</v>
      </c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348"/>
      <c r="AA35" s="349"/>
      <c r="AB35" s="191"/>
    </row>
    <row r="36" spans="1:28" ht="13.5" thickTop="1">
      <c r="A36" s="187"/>
      <c r="B36" s="352"/>
      <c r="C36" s="264"/>
      <c r="D36" s="264"/>
      <c r="E36" s="264"/>
      <c r="F36" s="264"/>
      <c r="G36" s="264"/>
      <c r="H36" s="264"/>
      <c r="I36" s="476" t="s">
        <v>28</v>
      </c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264"/>
      <c r="Y36" s="264"/>
      <c r="Z36" s="264"/>
      <c r="AA36" s="351"/>
      <c r="AB36" s="191"/>
    </row>
    <row r="37" spans="1:28" ht="14.25">
      <c r="A37" s="187"/>
      <c r="B37" s="352"/>
      <c r="C37" s="264"/>
      <c r="D37" s="264"/>
      <c r="E37" s="264"/>
      <c r="F37" s="264"/>
      <c r="G37" s="264"/>
      <c r="H37" s="264"/>
      <c r="I37" s="264" t="s">
        <v>120</v>
      </c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351"/>
      <c r="AB37" s="191"/>
    </row>
    <row r="38" spans="1:28" ht="13.5" thickBot="1">
      <c r="A38" s="187"/>
      <c r="B38" s="352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351"/>
      <c r="AB38" s="191"/>
    </row>
    <row r="39" spans="1:28" ht="16.5" thickBot="1">
      <c r="A39" s="187"/>
      <c r="B39" s="352"/>
      <c r="C39" s="40" t="s">
        <v>5</v>
      </c>
      <c r="D39" s="264"/>
      <c r="E39" s="264"/>
      <c r="F39" s="264"/>
      <c r="G39" s="264"/>
      <c r="H39" s="521">
        <v>17500</v>
      </c>
      <c r="I39" s="522"/>
      <c r="J39" s="546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351"/>
      <c r="AB39" s="191"/>
    </row>
    <row r="40" spans="1:28" ht="13.5" thickBot="1">
      <c r="A40" s="187"/>
      <c r="B40" s="352"/>
      <c r="C40" s="264"/>
      <c r="D40" s="264"/>
      <c r="E40" s="264"/>
      <c r="F40" s="264"/>
      <c r="G40" s="264"/>
      <c r="H40" s="264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264"/>
      <c r="Y40" s="264"/>
      <c r="Z40" s="264"/>
      <c r="AA40" s="351"/>
      <c r="AB40" s="191"/>
    </row>
    <row r="41" spans="1:28" ht="16.5" thickBot="1">
      <c r="A41" s="187"/>
      <c r="B41" s="352"/>
      <c r="C41" s="40" t="s">
        <v>6</v>
      </c>
      <c r="D41" s="264"/>
      <c r="E41" s="264"/>
      <c r="F41" s="264"/>
      <c r="G41" s="264"/>
      <c r="H41" s="525">
        <v>0</v>
      </c>
      <c r="I41" s="527"/>
      <c r="J41" s="476" t="s">
        <v>143</v>
      </c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264"/>
      <c r="Z41" s="264"/>
      <c r="AA41" s="351"/>
      <c r="AB41" s="191"/>
    </row>
    <row r="42" spans="1:28" ht="13.5" thickBot="1">
      <c r="A42" s="187"/>
      <c r="B42" s="352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351"/>
      <c r="AB42" s="191"/>
    </row>
    <row r="43" spans="1:28" ht="19.5" thickBot="1" thickTop="1">
      <c r="A43" s="187"/>
      <c r="B43" s="514" t="s">
        <v>49</v>
      </c>
      <c r="C43" s="515"/>
      <c r="D43" s="515"/>
      <c r="E43" s="515"/>
      <c r="F43" s="515"/>
      <c r="G43" s="516"/>
      <c r="H43" s="356"/>
      <c r="I43" s="264" t="s">
        <v>121</v>
      </c>
      <c r="J43" s="356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351"/>
      <c r="AB43" s="191"/>
    </row>
    <row r="44" spans="1:28" ht="13.5" thickTop="1">
      <c r="A44" s="187"/>
      <c r="B44" s="352"/>
      <c r="C44" s="264"/>
      <c r="D44" s="264"/>
      <c r="E44" s="264"/>
      <c r="F44" s="264"/>
      <c r="G44" s="264"/>
      <c r="H44" s="264"/>
      <c r="I44" s="264" t="s">
        <v>29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351"/>
      <c r="AB44" s="191"/>
    </row>
    <row r="45" spans="1:28" ht="14.25">
      <c r="A45" s="187"/>
      <c r="B45" s="352"/>
      <c r="C45" s="264"/>
      <c r="D45" s="264"/>
      <c r="E45" s="264"/>
      <c r="F45" s="264"/>
      <c r="G45" s="264"/>
      <c r="H45" s="264"/>
      <c r="I45" s="264" t="s">
        <v>129</v>
      </c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351"/>
      <c r="AB45" s="191"/>
    </row>
    <row r="46" spans="1:28" ht="13.5" thickBot="1">
      <c r="A46" s="187"/>
      <c r="B46" s="352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351"/>
      <c r="AB46" s="191"/>
    </row>
    <row r="47" spans="1:28" ht="16.5" thickBot="1">
      <c r="A47" s="187"/>
      <c r="B47" s="352"/>
      <c r="C47" s="40" t="s">
        <v>5</v>
      </c>
      <c r="D47" s="264"/>
      <c r="E47" s="264"/>
      <c r="F47" s="264"/>
      <c r="G47" s="264"/>
      <c r="H47" s="525">
        <v>11500</v>
      </c>
      <c r="I47" s="526"/>
      <c r="J47" s="527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351"/>
      <c r="AB47" s="191"/>
    </row>
    <row r="48" spans="1:28" ht="12.75">
      <c r="A48" s="187"/>
      <c r="B48" s="352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351"/>
      <c r="AB48" s="191"/>
    </row>
    <row r="49" spans="1:28" ht="14.25">
      <c r="A49" s="187"/>
      <c r="B49" s="352"/>
      <c r="C49" s="264"/>
      <c r="D49" s="264"/>
      <c r="E49" s="264"/>
      <c r="F49" s="264"/>
      <c r="G49" s="264"/>
      <c r="H49" s="264"/>
      <c r="I49" s="264" t="s">
        <v>122</v>
      </c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351"/>
      <c r="AB49" s="191"/>
    </row>
    <row r="50" spans="1:28" ht="12.75">
      <c r="A50" s="187"/>
      <c r="B50" s="352"/>
      <c r="C50" s="264"/>
      <c r="D50" s="264"/>
      <c r="E50" s="264"/>
      <c r="F50" s="264"/>
      <c r="G50" s="264"/>
      <c r="H50" s="264"/>
      <c r="I50" s="264" t="s">
        <v>29</v>
      </c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351"/>
      <c r="AB50" s="191"/>
    </row>
    <row r="51" spans="1:28" ht="14.25">
      <c r="A51" s="187"/>
      <c r="B51" s="352"/>
      <c r="C51" s="264"/>
      <c r="D51" s="264"/>
      <c r="E51" s="264"/>
      <c r="F51" s="264"/>
      <c r="G51" s="264"/>
      <c r="H51" s="264"/>
      <c r="I51" s="264" t="s">
        <v>123</v>
      </c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351"/>
      <c r="AB51" s="191"/>
    </row>
    <row r="52" spans="1:28" ht="13.5" thickBot="1">
      <c r="A52" s="187"/>
      <c r="B52" s="352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351"/>
      <c r="AB52" s="191"/>
    </row>
    <row r="53" spans="1:28" ht="16.5" thickBot="1">
      <c r="A53" s="187"/>
      <c r="B53" s="352"/>
      <c r="C53" s="40" t="s">
        <v>6</v>
      </c>
      <c r="D53" s="264"/>
      <c r="E53" s="264"/>
      <c r="F53" s="264"/>
      <c r="G53" s="264"/>
      <c r="H53" s="525">
        <v>5000</v>
      </c>
      <c r="I53" s="527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351"/>
      <c r="AB53" s="191"/>
    </row>
    <row r="54" spans="1:28" ht="16.5" thickBot="1">
      <c r="A54" s="187"/>
      <c r="B54" s="352"/>
      <c r="C54" s="264"/>
      <c r="D54" s="264"/>
      <c r="E54" s="264"/>
      <c r="F54" s="264"/>
      <c r="G54" s="264"/>
      <c r="H54" s="369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351"/>
      <c r="AB54" s="191"/>
    </row>
    <row r="55" spans="1:28" ht="19.5" thickBot="1" thickTop="1">
      <c r="A55" s="187"/>
      <c r="B55" s="514" t="s">
        <v>50</v>
      </c>
      <c r="C55" s="515"/>
      <c r="D55" s="515"/>
      <c r="E55" s="515"/>
      <c r="F55" s="516"/>
      <c r="G55" s="356"/>
      <c r="H55" s="356"/>
      <c r="I55" s="264" t="s">
        <v>147</v>
      </c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351"/>
      <c r="AB55" s="191"/>
    </row>
    <row r="56" spans="1:28" ht="15" thickTop="1">
      <c r="A56" s="187"/>
      <c r="B56" s="352"/>
      <c r="C56" s="264"/>
      <c r="D56" s="264"/>
      <c r="E56" s="264"/>
      <c r="F56" s="264"/>
      <c r="G56" s="264"/>
      <c r="H56" s="264"/>
      <c r="I56" s="264" t="s">
        <v>146</v>
      </c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351"/>
      <c r="AB56" s="191"/>
    </row>
    <row r="57" spans="1:28" ht="14.25">
      <c r="A57" s="187"/>
      <c r="B57" s="352"/>
      <c r="C57" s="264"/>
      <c r="D57" s="264"/>
      <c r="E57" s="264"/>
      <c r="F57" s="264"/>
      <c r="G57" s="264"/>
      <c r="H57" s="264"/>
      <c r="I57" s="264" t="s">
        <v>144</v>
      </c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351"/>
      <c r="AB57" s="191"/>
    </row>
    <row r="58" spans="1:28" ht="13.5" thickBot="1">
      <c r="A58" s="187"/>
      <c r="B58" s="352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351"/>
      <c r="AB58" s="191"/>
    </row>
    <row r="59" spans="1:28" ht="16.5" thickBot="1">
      <c r="A59" s="187"/>
      <c r="B59" s="352"/>
      <c r="C59" s="40" t="s">
        <v>5</v>
      </c>
      <c r="D59" s="264"/>
      <c r="E59" s="264"/>
      <c r="F59" s="264"/>
      <c r="G59" s="264"/>
      <c r="H59" s="521">
        <v>130249</v>
      </c>
      <c r="I59" s="522"/>
      <c r="J59" s="546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351"/>
      <c r="AB59" s="191"/>
    </row>
    <row r="60" spans="1:28" ht="12.75">
      <c r="A60" s="187"/>
      <c r="B60" s="352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351"/>
      <c r="AB60" s="191"/>
    </row>
    <row r="61" spans="1:28" ht="12.75">
      <c r="A61" s="187"/>
      <c r="B61" s="352"/>
      <c r="C61" s="264"/>
      <c r="D61" s="264"/>
      <c r="E61" s="264"/>
      <c r="F61" s="264"/>
      <c r="G61" s="264"/>
      <c r="H61" s="264"/>
      <c r="I61" s="264" t="s">
        <v>30</v>
      </c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351"/>
      <c r="AB61" s="191"/>
    </row>
    <row r="62" spans="1:28" ht="13.5" thickBot="1">
      <c r="A62" s="187"/>
      <c r="B62" s="352"/>
      <c r="C62" s="264"/>
      <c r="D62" s="264"/>
      <c r="E62" s="264"/>
      <c r="F62" s="264"/>
      <c r="G62" s="264"/>
      <c r="H62" s="264"/>
      <c r="I62" s="264" t="s">
        <v>31</v>
      </c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351"/>
      <c r="AB62" s="191"/>
    </row>
    <row r="63" spans="1:28" ht="16.5" thickBot="1">
      <c r="A63" s="187"/>
      <c r="B63" s="359"/>
      <c r="C63" s="40" t="s">
        <v>6</v>
      </c>
      <c r="D63" s="357"/>
      <c r="E63" s="357"/>
      <c r="F63" s="357"/>
      <c r="G63" s="357"/>
      <c r="H63" s="525">
        <v>0</v>
      </c>
      <c r="I63" s="52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8"/>
      <c r="AB63" s="191"/>
    </row>
    <row r="64" spans="1:28" ht="13.5" customHeight="1" thickBot="1">
      <c r="A64" s="187"/>
      <c r="B64" s="364"/>
      <c r="C64" s="364"/>
      <c r="D64" s="364"/>
      <c r="E64" s="364"/>
      <c r="F64" s="364"/>
      <c r="G64" s="364"/>
      <c r="H64" s="365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191"/>
    </row>
    <row r="65" spans="1:28" ht="13.5" thickBot="1">
      <c r="A65" s="184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6"/>
    </row>
    <row r="66" spans="1:28" ht="13.5" thickBot="1">
      <c r="A66" s="187"/>
      <c r="B66" s="370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9"/>
      <c r="AB66" s="191"/>
    </row>
    <row r="67" spans="1:28" ht="19.5" thickBot="1" thickTop="1">
      <c r="A67" s="187"/>
      <c r="B67" s="514" t="s">
        <v>51</v>
      </c>
      <c r="C67" s="515"/>
      <c r="D67" s="515"/>
      <c r="E67" s="515"/>
      <c r="F67" s="516"/>
      <c r="G67" s="356"/>
      <c r="H67" s="356"/>
      <c r="I67" s="264" t="s">
        <v>32</v>
      </c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351"/>
      <c r="AB67" s="191"/>
    </row>
    <row r="68" spans="1:28" ht="13.5" thickTop="1">
      <c r="A68" s="187"/>
      <c r="B68" s="352"/>
      <c r="C68" s="264"/>
      <c r="D68" s="264"/>
      <c r="E68" s="264"/>
      <c r="F68" s="264"/>
      <c r="G68" s="264"/>
      <c r="H68" s="264"/>
      <c r="I68" s="264" t="s">
        <v>148</v>
      </c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351"/>
      <c r="AB68" s="191"/>
    </row>
    <row r="69" spans="1:28" ht="12.75">
      <c r="A69" s="187"/>
      <c r="B69" s="352"/>
      <c r="C69" s="264"/>
      <c r="D69" s="264"/>
      <c r="E69" s="264"/>
      <c r="F69" s="264"/>
      <c r="G69" s="264"/>
      <c r="H69" s="264"/>
      <c r="I69" s="264" t="s">
        <v>125</v>
      </c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351"/>
      <c r="AB69" s="191"/>
    </row>
    <row r="70" spans="1:28" ht="12.75">
      <c r="A70" s="187"/>
      <c r="B70" s="352"/>
      <c r="C70" s="264"/>
      <c r="D70" s="264"/>
      <c r="E70" s="264"/>
      <c r="F70" s="264"/>
      <c r="G70" s="264"/>
      <c r="H70" s="264"/>
      <c r="I70" s="264" t="s">
        <v>126</v>
      </c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351"/>
      <c r="AB70" s="191"/>
    </row>
    <row r="71" spans="1:28" ht="12.75">
      <c r="A71" s="187"/>
      <c r="B71" s="352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351"/>
      <c r="AB71" s="191"/>
    </row>
    <row r="72" spans="1:28" ht="15" thickBot="1">
      <c r="A72" s="187"/>
      <c r="B72" s="352"/>
      <c r="C72" s="264"/>
      <c r="D72" s="264"/>
      <c r="E72" s="264"/>
      <c r="F72" s="264"/>
      <c r="G72" s="264"/>
      <c r="H72" s="264"/>
      <c r="I72" s="264" t="s">
        <v>127</v>
      </c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351"/>
      <c r="AB72" s="191"/>
    </row>
    <row r="73" spans="1:28" ht="16.5" thickBot="1">
      <c r="A73" s="187"/>
      <c r="B73" s="352"/>
      <c r="C73" s="40" t="s">
        <v>5</v>
      </c>
      <c r="D73" s="264"/>
      <c r="E73" s="264"/>
      <c r="F73" s="264"/>
      <c r="G73" s="264"/>
      <c r="H73" s="521">
        <v>-1080000</v>
      </c>
      <c r="I73" s="522"/>
      <c r="J73" s="522"/>
      <c r="K73" s="546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351"/>
      <c r="AB73" s="191"/>
    </row>
    <row r="74" spans="1:28" ht="15.75">
      <c r="A74" s="187"/>
      <c r="B74" s="352"/>
      <c r="C74" s="264"/>
      <c r="D74" s="264"/>
      <c r="E74" s="264"/>
      <c r="F74" s="264"/>
      <c r="G74" s="264"/>
      <c r="H74" s="369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351"/>
      <c r="AB74" s="191"/>
    </row>
    <row r="75" spans="1:28" ht="12.75">
      <c r="A75" s="187"/>
      <c r="B75" s="352"/>
      <c r="C75" s="264"/>
      <c r="D75" s="264"/>
      <c r="E75" s="264"/>
      <c r="F75" s="264"/>
      <c r="G75" s="264"/>
      <c r="H75" s="264"/>
      <c r="I75" s="264" t="s">
        <v>145</v>
      </c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351"/>
      <c r="AB75" s="191"/>
    </row>
    <row r="76" spans="1:28" ht="15" thickBot="1">
      <c r="A76" s="187"/>
      <c r="B76" s="352"/>
      <c r="C76" s="264"/>
      <c r="D76" s="264"/>
      <c r="E76" s="264"/>
      <c r="F76" s="264"/>
      <c r="G76" s="264"/>
      <c r="H76" s="264"/>
      <c r="I76" s="264" t="s">
        <v>127</v>
      </c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351"/>
      <c r="AB76" s="191"/>
    </row>
    <row r="77" spans="1:28" ht="16.5" thickBot="1">
      <c r="A77" s="187"/>
      <c r="B77" s="352"/>
      <c r="C77" s="40" t="s">
        <v>6</v>
      </c>
      <c r="D77" s="264"/>
      <c r="E77" s="264"/>
      <c r="F77" s="264"/>
      <c r="G77" s="264"/>
      <c r="H77" s="521">
        <v>1080000</v>
      </c>
      <c r="I77" s="522"/>
      <c r="J77" s="522"/>
      <c r="K77" s="546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351"/>
      <c r="AB77" s="191"/>
    </row>
    <row r="78" spans="1:28" ht="13.5" thickBot="1">
      <c r="A78" s="187"/>
      <c r="B78" s="352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351"/>
      <c r="AB78" s="191"/>
    </row>
    <row r="79" spans="1:28" ht="24" thickBot="1">
      <c r="A79" s="187"/>
      <c r="B79" s="352"/>
      <c r="C79" s="264"/>
      <c r="D79" s="264"/>
      <c r="E79" s="264"/>
      <c r="F79" s="264"/>
      <c r="G79" s="264"/>
      <c r="H79" s="511" t="s">
        <v>33</v>
      </c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3"/>
      <c r="V79" s="264"/>
      <c r="W79" s="264"/>
      <c r="X79" s="264"/>
      <c r="Y79" s="264"/>
      <c r="Z79" s="264"/>
      <c r="AA79" s="351"/>
      <c r="AB79" s="191"/>
    </row>
    <row r="80" spans="1:28" ht="18.75" thickBot="1">
      <c r="A80" s="187"/>
      <c r="B80" s="352"/>
      <c r="C80" s="264"/>
      <c r="D80" s="264"/>
      <c r="E80" s="264"/>
      <c r="F80" s="264"/>
      <c r="G80" s="264"/>
      <c r="H80" s="543" t="s">
        <v>117</v>
      </c>
      <c r="I80" s="544"/>
      <c r="J80" s="544"/>
      <c r="K80" s="544"/>
      <c r="L80" s="544"/>
      <c r="M80" s="544"/>
      <c r="N80" s="544"/>
      <c r="O80" s="544"/>
      <c r="P80" s="544"/>
      <c r="Q80" s="544"/>
      <c r="R80" s="544"/>
      <c r="S80" s="544"/>
      <c r="T80" s="544"/>
      <c r="U80" s="545"/>
      <c r="V80" s="264"/>
      <c r="W80" s="264"/>
      <c r="X80" s="264"/>
      <c r="Y80" s="264"/>
      <c r="Z80" s="264"/>
      <c r="AA80" s="351"/>
      <c r="AB80" s="191"/>
    </row>
    <row r="81" spans="1:28" ht="12.75" customHeight="1">
      <c r="A81" s="187"/>
      <c r="B81" s="352"/>
      <c r="C81" s="264"/>
      <c r="D81" s="264"/>
      <c r="E81" s="264"/>
      <c r="F81" s="264"/>
      <c r="G81" s="264"/>
      <c r="H81" s="529" t="s">
        <v>34</v>
      </c>
      <c r="I81" s="530"/>
      <c r="J81" s="530"/>
      <c r="K81" s="530"/>
      <c r="L81" s="530"/>
      <c r="M81" s="531"/>
      <c r="N81" s="535" t="s">
        <v>6</v>
      </c>
      <c r="O81" s="536"/>
      <c r="P81" s="536"/>
      <c r="Q81" s="536"/>
      <c r="R81" s="537"/>
      <c r="S81" s="536" t="s">
        <v>5</v>
      </c>
      <c r="T81" s="536"/>
      <c r="U81" s="537"/>
      <c r="V81" s="264"/>
      <c r="W81" s="264"/>
      <c r="X81" s="264"/>
      <c r="Y81" s="264"/>
      <c r="Z81" s="264"/>
      <c r="AA81" s="351"/>
      <c r="AB81" s="191"/>
    </row>
    <row r="82" spans="1:28" ht="12.75" customHeight="1" thickBot="1">
      <c r="A82" s="187"/>
      <c r="B82" s="352"/>
      <c r="C82" s="264"/>
      <c r="D82" s="264"/>
      <c r="E82" s="264"/>
      <c r="F82" s="264"/>
      <c r="G82" s="264"/>
      <c r="H82" s="532"/>
      <c r="I82" s="533"/>
      <c r="J82" s="533"/>
      <c r="K82" s="533"/>
      <c r="L82" s="533"/>
      <c r="M82" s="534"/>
      <c r="N82" s="538"/>
      <c r="O82" s="539"/>
      <c r="P82" s="539"/>
      <c r="Q82" s="539"/>
      <c r="R82" s="540"/>
      <c r="S82" s="541"/>
      <c r="T82" s="541"/>
      <c r="U82" s="542"/>
      <c r="V82" s="264"/>
      <c r="W82" s="264"/>
      <c r="X82" s="264"/>
      <c r="Y82" s="264"/>
      <c r="Z82" s="264"/>
      <c r="AA82" s="351"/>
      <c r="AB82" s="191"/>
    </row>
    <row r="83" spans="1:28" ht="12.75" customHeight="1">
      <c r="A83" s="187"/>
      <c r="B83" s="352"/>
      <c r="C83" s="264"/>
      <c r="D83" s="264"/>
      <c r="E83" s="264"/>
      <c r="F83" s="264"/>
      <c r="G83" s="264"/>
      <c r="H83" s="34" t="s">
        <v>35</v>
      </c>
      <c r="I83" s="35"/>
      <c r="J83" s="35"/>
      <c r="K83" s="35"/>
      <c r="L83" s="35"/>
      <c r="M83" s="36"/>
      <c r="N83" s="508">
        <v>242500</v>
      </c>
      <c r="O83" s="509"/>
      <c r="P83" s="509"/>
      <c r="Q83" s="509"/>
      <c r="R83" s="510"/>
      <c r="S83" s="486">
        <v>102180</v>
      </c>
      <c r="T83" s="486"/>
      <c r="U83" s="487"/>
      <c r="V83" s="264"/>
      <c r="W83" s="264"/>
      <c r="X83" s="264"/>
      <c r="Y83" s="264"/>
      <c r="Z83" s="264"/>
      <c r="AA83" s="351"/>
      <c r="AB83" s="191"/>
    </row>
    <row r="84" spans="1:28" ht="12.75" customHeight="1">
      <c r="A84" s="187"/>
      <c r="B84" s="352"/>
      <c r="C84" s="264"/>
      <c r="D84" s="264"/>
      <c r="E84" s="264"/>
      <c r="F84" s="264"/>
      <c r="G84" s="264"/>
      <c r="H84" s="34" t="s">
        <v>36</v>
      </c>
      <c r="I84" s="35"/>
      <c r="J84" s="35"/>
      <c r="K84" s="35"/>
      <c r="L84" s="35"/>
      <c r="M84" s="36"/>
      <c r="N84" s="485">
        <v>80000</v>
      </c>
      <c r="O84" s="486"/>
      <c r="P84" s="486"/>
      <c r="Q84" s="486"/>
      <c r="R84" s="487"/>
      <c r="S84" s="486">
        <v>240000</v>
      </c>
      <c r="T84" s="486"/>
      <c r="U84" s="487"/>
      <c r="V84" s="264"/>
      <c r="W84" s="264"/>
      <c r="X84" s="264"/>
      <c r="Y84" s="264"/>
      <c r="Z84" s="264"/>
      <c r="AA84" s="351"/>
      <c r="AB84" s="191"/>
    </row>
    <row r="85" spans="1:28" ht="12.75" customHeight="1">
      <c r="A85" s="187"/>
      <c r="B85" s="352"/>
      <c r="C85" s="264"/>
      <c r="D85" s="264"/>
      <c r="E85" s="264"/>
      <c r="F85" s="264"/>
      <c r="G85" s="264"/>
      <c r="H85" s="34" t="s">
        <v>37</v>
      </c>
      <c r="I85" s="35"/>
      <c r="J85" s="35"/>
      <c r="K85" s="35"/>
      <c r="L85" s="35"/>
      <c r="M85" s="36"/>
      <c r="N85" s="485">
        <v>0</v>
      </c>
      <c r="O85" s="486"/>
      <c r="P85" s="486"/>
      <c r="Q85" s="486"/>
      <c r="R85" s="487"/>
      <c r="S85" s="486">
        <v>17500</v>
      </c>
      <c r="T85" s="480"/>
      <c r="U85" s="481"/>
      <c r="V85" s="264"/>
      <c r="W85" s="264"/>
      <c r="X85" s="264"/>
      <c r="Y85" s="264"/>
      <c r="Z85" s="264"/>
      <c r="AA85" s="351"/>
      <c r="AB85" s="191"/>
    </row>
    <row r="86" spans="1:28" ht="12.75" customHeight="1">
      <c r="A86" s="187"/>
      <c r="B86" s="352"/>
      <c r="C86" s="264"/>
      <c r="D86" s="264"/>
      <c r="E86" s="264"/>
      <c r="F86" s="264"/>
      <c r="G86" s="264"/>
      <c r="H86" s="34" t="s">
        <v>40</v>
      </c>
      <c r="I86" s="35"/>
      <c r="J86" s="35"/>
      <c r="K86" s="35"/>
      <c r="L86" s="35"/>
      <c r="M86" s="36"/>
      <c r="N86" s="485">
        <v>5000</v>
      </c>
      <c r="O86" s="486"/>
      <c r="P86" s="486"/>
      <c r="Q86" s="486"/>
      <c r="R86" s="487"/>
      <c r="S86" s="486">
        <v>11500</v>
      </c>
      <c r="T86" s="486"/>
      <c r="U86" s="487"/>
      <c r="V86" s="264"/>
      <c r="W86" s="264"/>
      <c r="X86" s="264"/>
      <c r="Y86" s="264"/>
      <c r="Z86" s="264"/>
      <c r="AA86" s="351"/>
      <c r="AB86" s="191"/>
    </row>
    <row r="87" spans="1:28" ht="12.75" customHeight="1">
      <c r="A87" s="187"/>
      <c r="B87" s="352"/>
      <c r="C87" s="264"/>
      <c r="D87" s="264"/>
      <c r="E87" s="264"/>
      <c r="F87" s="264"/>
      <c r="G87" s="264"/>
      <c r="H87" s="34" t="s">
        <v>38</v>
      </c>
      <c r="I87" s="35"/>
      <c r="J87" s="35"/>
      <c r="K87" s="35"/>
      <c r="L87" s="35"/>
      <c r="M87" s="36"/>
      <c r="N87" s="506" t="s">
        <v>39</v>
      </c>
      <c r="O87" s="480"/>
      <c r="P87" s="480"/>
      <c r="Q87" s="480"/>
      <c r="R87" s="481"/>
      <c r="S87" s="486">
        <v>130249</v>
      </c>
      <c r="T87" s="480"/>
      <c r="U87" s="481"/>
      <c r="V87" s="264"/>
      <c r="W87" s="264"/>
      <c r="X87" s="264"/>
      <c r="Y87" s="264"/>
      <c r="Z87" s="264"/>
      <c r="AA87" s="351"/>
      <c r="AB87" s="191"/>
    </row>
    <row r="88" spans="1:28" ht="12.75" customHeight="1">
      <c r="A88" s="187"/>
      <c r="B88" s="352"/>
      <c r="C88" s="264"/>
      <c r="D88" s="264"/>
      <c r="E88" s="264"/>
      <c r="F88" s="264"/>
      <c r="G88" s="264"/>
      <c r="H88" s="34" t="s">
        <v>41</v>
      </c>
      <c r="I88" s="35"/>
      <c r="J88" s="35"/>
      <c r="K88" s="35"/>
      <c r="L88" s="35"/>
      <c r="M88" s="36"/>
      <c r="N88" s="500">
        <v>1080000</v>
      </c>
      <c r="O88" s="501"/>
      <c r="P88" s="501"/>
      <c r="Q88" s="501"/>
      <c r="R88" s="502"/>
      <c r="S88" s="507">
        <v>-1080000</v>
      </c>
      <c r="T88" s="480"/>
      <c r="U88" s="481"/>
      <c r="V88" s="264"/>
      <c r="W88" s="264"/>
      <c r="X88" s="264"/>
      <c r="Y88" s="264"/>
      <c r="Z88" s="264"/>
      <c r="AA88" s="351"/>
      <c r="AB88" s="191"/>
    </row>
    <row r="89" spans="1:28" ht="12.75" customHeight="1" thickBot="1">
      <c r="A89" s="187"/>
      <c r="B89" s="352"/>
      <c r="C89" s="264"/>
      <c r="D89" s="264"/>
      <c r="E89" s="264"/>
      <c r="F89" s="264"/>
      <c r="G89" s="264"/>
      <c r="H89" s="34" t="s">
        <v>42</v>
      </c>
      <c r="I89" s="35"/>
      <c r="J89" s="35"/>
      <c r="K89" s="35"/>
      <c r="L89" s="35"/>
      <c r="M89" s="36"/>
      <c r="N89" s="506" t="s">
        <v>43</v>
      </c>
      <c r="O89" s="480"/>
      <c r="P89" s="480"/>
      <c r="Q89" s="480"/>
      <c r="R89" s="481"/>
      <c r="S89" s="480" t="s">
        <v>44</v>
      </c>
      <c r="T89" s="480"/>
      <c r="U89" s="481"/>
      <c r="V89" s="264"/>
      <c r="W89" s="264"/>
      <c r="X89" s="264"/>
      <c r="Y89" s="264"/>
      <c r="Z89" s="264"/>
      <c r="AA89" s="351"/>
      <c r="AB89" s="191"/>
    </row>
    <row r="90" spans="1:28" ht="12.75" customHeight="1">
      <c r="A90" s="187"/>
      <c r="B90" s="352"/>
      <c r="C90" s="264"/>
      <c r="D90" s="264"/>
      <c r="E90" s="264"/>
      <c r="F90" s="264"/>
      <c r="G90" s="264"/>
      <c r="H90" s="377"/>
      <c r="I90" s="380"/>
      <c r="J90" s="380"/>
      <c r="K90" s="380"/>
      <c r="L90" s="380"/>
      <c r="M90" s="381"/>
      <c r="N90" s="382"/>
      <c r="O90" s="382"/>
      <c r="P90" s="382"/>
      <c r="Q90" s="382"/>
      <c r="R90" s="382"/>
      <c r="S90" s="482"/>
      <c r="T90" s="483"/>
      <c r="U90" s="484"/>
      <c r="V90" s="264"/>
      <c r="W90" s="264"/>
      <c r="X90" s="264"/>
      <c r="Y90" s="264"/>
      <c r="Z90" s="264"/>
      <c r="AA90" s="351"/>
      <c r="AB90" s="191"/>
    </row>
    <row r="91" spans="1:28" ht="12.75" customHeight="1">
      <c r="A91" s="187"/>
      <c r="B91" s="352"/>
      <c r="C91" s="264"/>
      <c r="D91" s="264"/>
      <c r="E91" s="264"/>
      <c r="F91" s="264"/>
      <c r="G91" s="264"/>
      <c r="H91" s="477" t="s">
        <v>45</v>
      </c>
      <c r="I91" s="478"/>
      <c r="J91" s="478"/>
      <c r="K91" s="478"/>
      <c r="L91" s="478"/>
      <c r="M91" s="479"/>
      <c r="N91" s="494">
        <f>SUM(N83,N84,N85,N86)</f>
        <v>327500</v>
      </c>
      <c r="O91" s="495"/>
      <c r="P91" s="495"/>
      <c r="Q91" s="495"/>
      <c r="R91" s="496"/>
      <c r="S91" s="488">
        <f>SUM(S83,S84,S85,S86,S87)</f>
        <v>501429</v>
      </c>
      <c r="T91" s="489"/>
      <c r="U91" s="490"/>
      <c r="V91" s="264"/>
      <c r="W91" s="264"/>
      <c r="X91" s="264"/>
      <c r="Y91" s="264"/>
      <c r="Z91" s="264"/>
      <c r="AA91" s="351"/>
      <c r="AB91" s="191"/>
    </row>
    <row r="92" spans="1:28" ht="12.75" customHeight="1" thickBot="1">
      <c r="A92" s="187"/>
      <c r="B92" s="352"/>
      <c r="C92" s="264"/>
      <c r="D92" s="264"/>
      <c r="E92" s="264"/>
      <c r="F92" s="264"/>
      <c r="G92" s="264"/>
      <c r="H92" s="503" t="s">
        <v>82</v>
      </c>
      <c r="I92" s="504"/>
      <c r="J92" s="504"/>
      <c r="K92" s="504"/>
      <c r="L92" s="504"/>
      <c r="M92" s="505"/>
      <c r="N92" s="497"/>
      <c r="O92" s="498"/>
      <c r="P92" s="498"/>
      <c r="Q92" s="498"/>
      <c r="R92" s="499"/>
      <c r="S92" s="491"/>
      <c r="T92" s="492"/>
      <c r="U92" s="493"/>
      <c r="V92" s="264"/>
      <c r="W92" s="264"/>
      <c r="X92" s="264"/>
      <c r="Y92" s="264"/>
      <c r="Z92" s="264"/>
      <c r="AA92" s="351"/>
      <c r="AB92" s="191"/>
    </row>
    <row r="93" spans="1:28" ht="15">
      <c r="A93" s="187"/>
      <c r="B93" s="352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4"/>
      <c r="S93" s="264"/>
      <c r="T93" s="264"/>
      <c r="U93" s="264"/>
      <c r="V93" s="264"/>
      <c r="W93" s="264"/>
      <c r="X93" s="264"/>
      <c r="Y93" s="264"/>
      <c r="Z93" s="264"/>
      <c r="AA93" s="351"/>
      <c r="AB93" s="191"/>
    </row>
    <row r="94" spans="1:28" ht="23.25">
      <c r="A94" s="187"/>
      <c r="B94" s="352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2"/>
      <c r="AB94" s="361"/>
    </row>
    <row r="95" spans="1:28" ht="15.75" thickBot="1">
      <c r="A95" s="187"/>
      <c r="B95" s="359"/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4"/>
      <c r="AB95" s="362"/>
    </row>
    <row r="96" spans="1:28" ht="13.5" thickBot="1">
      <c r="A96" s="366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3"/>
    </row>
    <row r="97" spans="15:28" ht="12.75"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5:28" ht="12.75"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</row>
    <row r="99" spans="15:28" ht="12.75"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15:28" ht="12.75"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5:28" ht="12.75"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5:28" ht="12.75"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15:28" ht="12.75"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15:28" ht="12.75"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15:28" ht="12.75"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15:28" ht="12.75"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15:28" ht="12.75"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15:28" ht="12.75"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15:28" ht="12.75"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</row>
  </sheetData>
  <mergeCells count="63">
    <mergeCell ref="H63:I63"/>
    <mergeCell ref="H73:K73"/>
    <mergeCell ref="H77:K77"/>
    <mergeCell ref="I13:W13"/>
    <mergeCell ref="I16:Z16"/>
    <mergeCell ref="I17:AA17"/>
    <mergeCell ref="H59:J59"/>
    <mergeCell ref="H41:I41"/>
    <mergeCell ref="H47:J47"/>
    <mergeCell ref="H53:I53"/>
    <mergeCell ref="B6:F6"/>
    <mergeCell ref="B16:F16"/>
    <mergeCell ref="I18:Z18"/>
    <mergeCell ref="I6:Z6"/>
    <mergeCell ref="I7:Z7"/>
    <mergeCell ref="H9:K9"/>
    <mergeCell ref="I11:W11"/>
    <mergeCell ref="H81:M82"/>
    <mergeCell ref="N81:R82"/>
    <mergeCell ref="S81:U82"/>
    <mergeCell ref="H80:U80"/>
    <mergeCell ref="B67:F67"/>
    <mergeCell ref="I30:N30"/>
    <mergeCell ref="H22:J22"/>
    <mergeCell ref="B24:F24"/>
    <mergeCell ref="B55:F55"/>
    <mergeCell ref="B35:F35"/>
    <mergeCell ref="B43:G43"/>
    <mergeCell ref="I36:W36"/>
    <mergeCell ref="I29:T29"/>
    <mergeCell ref="H27:J27"/>
    <mergeCell ref="H79:U79"/>
    <mergeCell ref="I26:V26"/>
    <mergeCell ref="I25:T25"/>
    <mergeCell ref="I8:W8"/>
    <mergeCell ref="H14:K14"/>
    <mergeCell ref="I19:Z19"/>
    <mergeCell ref="H31:J31"/>
    <mergeCell ref="I35:Y35"/>
    <mergeCell ref="I40:W40"/>
    <mergeCell ref="H39:J39"/>
    <mergeCell ref="N86:R86"/>
    <mergeCell ref="S86:U86"/>
    <mergeCell ref="N83:R83"/>
    <mergeCell ref="S83:U83"/>
    <mergeCell ref="N84:R84"/>
    <mergeCell ref="S84:U84"/>
    <mergeCell ref="S85:U85"/>
    <mergeCell ref="H92:M92"/>
    <mergeCell ref="N87:R87"/>
    <mergeCell ref="S87:U87"/>
    <mergeCell ref="N89:R89"/>
    <mergeCell ref="S88:U88"/>
    <mergeCell ref="O2:Z2"/>
    <mergeCell ref="I20:AA20"/>
    <mergeCell ref="J41:X41"/>
    <mergeCell ref="H91:M91"/>
    <mergeCell ref="S89:U89"/>
    <mergeCell ref="S90:U90"/>
    <mergeCell ref="N85:R85"/>
    <mergeCell ref="S91:U92"/>
    <mergeCell ref="N91:R92"/>
    <mergeCell ref="N88:R88"/>
  </mergeCells>
  <printOptions horizontalCentered="1" verticalCentered="1"/>
  <pageMargins left="0.75" right="0.75" top="1" bottom="1" header="0.5" footer="0.5"/>
  <pageSetup horizontalDpi="600" verticalDpi="600" orientation="landscape" scale="91" r:id="rId2"/>
  <rowBreaks count="2" manualBreakCount="2">
    <brk id="33" max="27" man="1"/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Amcol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AMCOL</dc:creator>
  <cp:keywords/>
  <dc:description/>
  <cp:lastModifiedBy>heather neri</cp:lastModifiedBy>
  <cp:lastPrinted>2009-04-01T17:01:27Z</cp:lastPrinted>
  <dcterms:created xsi:type="dcterms:W3CDTF">2000-08-24T19:42:54Z</dcterms:created>
  <dcterms:modified xsi:type="dcterms:W3CDTF">2009-04-01T19:53:25Z</dcterms:modified>
  <cp:category/>
  <cp:version/>
  <cp:contentType/>
  <cp:contentStatus/>
</cp:coreProperties>
</file>